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 name="_xlnm._FilterDatabase" localSheetId="52">Проверка!$B$4:$E$5</definedName>
    <definedName name="_xlnm.Print_Area" localSheetId="39">ТП!$D$5:$I$22</definedName>
    <definedName name="_xlnm.Print_Titles" localSheetId="39">ТП!$B:$B,ТП!$2:$2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<sst xmlns="http://schemas.openxmlformats.org/spreadsheetml/2006/main" count="8744" uniqueCount="2478">
  <si>
    <t xml:space="preserve"> (требуется обновление)</t>
  </si>
  <si>
    <t>Код отчёта: PP108.OPEN.INFO.QUARTER.HOTVSNA.EIAS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</si>
  <si>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</si>
  <si>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</si>
  <si>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</si>
  <si>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</si>
  <si>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</si>
  <si>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</si>
  <si>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</si>
  <si>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</si>
  <si>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</si>
  <si>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</si>
  <si>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</si>
  <si>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</si>
  <si>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</si>
  <si>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</si>
  <si>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</si>
  <si>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</si>
  <si>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</si>
  <si>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</si>
  <si>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</si>
  <si>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</si>
  <si>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</si>
  <si>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</si>
  <si>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</si>
  <si>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</si>
  <si>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</si>
  <si>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</si>
  <si>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</si>
  <si>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</si>
  <si>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</si>
  <si>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</si>
  <si>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</si>
  <si>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</si>
  <si>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</si>
  <si>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</si>
  <si>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</si>
  <si>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</si>
  <si>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</si>
  <si>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</si>
  <si>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</si>
  <si>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</si>
  <si>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</si>
  <si>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</si>
  <si>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</si>
  <si>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</si>
  <si>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</si>
  <si>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</si>
  <si>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</si>
  <si>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</si>
  <si>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</si>
  <si>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</si>
  <si>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</si>
  <si>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</si>
  <si>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</si>
  <si>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</si>
  <si>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</si>
  <si>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</si>
  <si>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</si>
  <si>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</si>
  <si>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</si>
  <si>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</si>
  <si>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</si>
  <si>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</si>
  <si>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</si>
  <si>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</si>
  <si>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</si>
  <si>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</si>
  <si>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</si>
  <si>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</si>
  <si>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</si>
  <si>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</si>
  <si>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</si>
  <si>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</si>
  <si>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</si>
  <si>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</si>
  <si>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8(81853)4-77-57</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</si>
  <si>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</si>
  <si>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</si>
  <si>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</si>
  <si>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</si>
  <si>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</si>
  <si>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</si>
  <si>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</si>
  <si>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</si>
  <si>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</si>
  <si>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</si>
  <si>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</si>
  <si>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</si>
  <si>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</si>
  <si>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</si>
  <si>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</si>
  <si>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</si>
  <si>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</si>
  <si>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</si>
  <si>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</si>
  <si>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</si>
  <si>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</si>
  <si>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</si>
  <si>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</si>
  <si>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</si>
  <si>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</si>
  <si>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</si>
  <si>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</si>
  <si>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</si>
  <si>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</si>
  <si>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</si>
  <si>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</si>
  <si>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</si>
  <si>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</si>
  <si>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</si>
  <si>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</si>
  <si>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</si>
  <si>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</si>
  <si>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</si>
  <si>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</si>
  <si>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</si>
  <si>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</si>
  <si>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</si>
  <si>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</si>
  <si>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</si>
  <si>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</si>
  <si>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</si>
  <si>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</si>
  <si>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</si>
  <si>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</si>
  <si>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</si>
  <si>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</si>
  <si>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</si>
  <si>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</si>
  <si>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</si>
  <si>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</si>
  <si>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</si>
  <si>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</si>
  <si>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</si>
  <si>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</si>
  <si>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</si>
  <si>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</si>
  <si>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</si>
  <si>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</si>
  <si>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</si>
  <si>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</si>
  <si>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</si>
  <si>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</si>
  <si>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</si>
  <si>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</si>
  <si>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</si>
  <si>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</si>
  <si>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</si>
  <si>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</si>
  <si>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</si>
  <si>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</si>
  <si>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</si>
  <si>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</si>
  <si>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</si>
  <si>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</si>
  <si>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</si>
  <si>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</si>
  <si>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</si>
  <si>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</si>
  <si>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</si>
  <si>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</si>
  <si>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</si>
  <si>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</si>
  <si>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</si>
  <si>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</si>
  <si>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</si>
  <si>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</si>
  <si>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</si>
  <si>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</si>
  <si>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</si>
  <si>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</si>
  <si>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</si>
  <si>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</si>
  <si>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</si>
  <si>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</si>
  <si>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</si>
  <si>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</si>
  <si>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</si>
  <si>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</si>
  <si>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</si>
  <si>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</si>
  <si>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</si>
  <si>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</si>
  <si>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</si>
  <si>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</si>
  <si>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</si>
  <si>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</si>
  <si>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</si>
  <si>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</si>
  <si>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</si>
  <si>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</si>
  <si>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</si>
  <si>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</si>
  <si>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</si>
  <si>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</si>
  <si>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</si>
  <si>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</si>
  <si>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</si>
  <si>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</si>
  <si>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</si>
  <si>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</si>
  <si>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</si>
  <si>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</si>
  <si>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</si>
  <si>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</si>
  <si>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</si>
  <si>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</si>
  <si>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</si>
  <si>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</si>
  <si>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</si>
  <si>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</si>
  <si>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</si>
  <si>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</si>
  <si>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</si>
  <si>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</si>
  <si>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</si>
  <si>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</si>
  <si>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</si>
  <si>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</si>
  <si>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</si>
  <si>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</si>
  <si>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</si>
  <si>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</si>
  <si>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</si>
  <si>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</si>
  <si>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</si>
  <si>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</si>
  <si>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</si>
  <si>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</si>
  <si>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</si>
  <si>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</si>
  <si>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</si>
  <si>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</si>
  <si>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</si>
  <si>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</si>
  <si>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</si>
  <si>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</si>
  <si>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</si>
  <si>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</si>
  <si>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</si>
  <si>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</si>
  <si>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</si>
  <si>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</si>
  <si>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</si>
  <si>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</si>
  <si>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</si>
  <si>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</si>
  <si>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</si>
  <si>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</si>
  <si>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</si>
  <si>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</si>
  <si>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</si>
  <si>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</si>
  <si>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</si>
  <si>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</si>
  <si>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</si>
  <si>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</si>
  <si>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</si>
  <si>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</si>
  <si>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</si>
  <si>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</si>
  <si>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</si>
  <si>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</si>
  <si>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</si>
  <si>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</si>
  <si>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</si>
  <si>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</si>
  <si>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</si>
  <si>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</si>
  <si>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</si>
  <si>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</si>
  <si>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</si>
  <si>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</si>
  <si>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</si>
  <si>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</si>
  <si>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</si>
  <si>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</si>
  <si>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</si>
  <si>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</si>
  <si>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</si>
  <si>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</si>
  <si>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</si>
  <si>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</si>
  <si>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</si>
  <si>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</si>
  <si>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</si>
  <si>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</si>
  <si>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</si>
  <si>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</si>
  <si>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</si>
  <si>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</si>
  <si>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</si>
  <si>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</si>
  <si>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</si>
  <si>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</si>
  <si>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</si>
  <si>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</si>
  <si>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</si>
  <si>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</si>
  <si>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</si>
  <si>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</si>
  <si>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</si>
  <si>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</si>
  <si>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</si>
  <si>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</si>
  <si>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</si>
  <si>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</si>
  <si>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</si>
  <si>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</si>
  <si>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</si>
  <si>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</si>
  <si>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</si>
  <si>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</si>
  <si>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</si>
  <si>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</si>
  <si>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</si>
  <si>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</si>
  <si>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</si>
  <si>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</si>
  <si>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</si>
  <si>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</si>
  <si>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</si>
  <si>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</si>
  <si>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</si>
  <si>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</si>
  <si>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</si>
  <si>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</si>
  <si>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</si>
  <si>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</si>
  <si>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</si>
  <si>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</si>
  <si>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</si>
  <si>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</si>
  <si>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</si>
  <si>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</si>
  <si>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</si>
  <si>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</si>
  <si>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</si>
  <si>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</si>
  <si>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</si>
  <si>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</si>
  <si>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</si>
  <si>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</si>
  <si>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</si>
  <si>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</si>
  <si>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</si>
  <si>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</si>
  <si>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</si>
  <si>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</si>
  <si>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</si>
  <si>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</si>
  <si>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</si>
  <si>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</si>
  <si>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</si>
  <si>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</si>
  <si>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</si>
  <si>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</si>
  <si>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</si>
  <si>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</si>
  <si>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</si>
  <si>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</si>
  <si>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</si>
  <si>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</si>
  <si>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</si>
  <si>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</si>
  <si>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</si>
  <si>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</si>
  <si>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</si>
  <si>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</si>
  <si>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</si>
  <si>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</si>
  <si>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</si>
  <si>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</si>
  <si>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</si>
  <si>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</si>
  <si>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</si>
  <si>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</si>
  <si>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</si>
  <si>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</si>
  <si>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</si>
  <si>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</si>
  <si>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</si>
  <si>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</si>
  <si>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</si>
  <si>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</si>
  <si>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</si>
  <si>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</si>
  <si>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</si>
  <si>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</si>
  <si>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</si>
  <si>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</si>
  <si>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</si>
  <si>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</si>
  <si>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</si>
  <si>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</si>
  <si>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</si>
  <si>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</si>
  <si>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</si>
  <si>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</si>
  <si>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</si>
  <si>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</si>
  <si>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</si>
  <si>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</si>
  <si>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</si>
  <si>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</si>
  <si>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</si>
  <si>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</si>
  <si>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</si>
  <si>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</si>
  <si>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</si>
  <si>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</si>
  <si>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</si>
  <si>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</si>
  <si>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</si>
  <si>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</si>
  <si>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</si>
  <si>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</si>
  <si>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</si>
  <si>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</si>
  <si>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</si>
  <si>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</si>
  <si>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</si>
  <si>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</si>
  <si>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</si>
  <si>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</si>
  <si>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</si>
  <si>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</si>
  <si>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</si>
  <si>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</si>
  <si>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</si>
  <si>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</si>
  <si>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</si>
  <si>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</si>
  <si>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</si>
  <si>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</si>
  <si>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</si>
  <si>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</si>
  <si>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</si>
  <si>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</si>
  <si>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</si>
  <si>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</si>
  <si>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</si>
  <si>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</si>
  <si>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</si>
  <si>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</si>
  <si>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</si>
  <si>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</si>
  <si>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</si>
  <si>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</si>
  <si>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</si>
  <si>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</si>
  <si>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</si>
  <si>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</si>
  <si>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</si>
  <si>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</si>
  <si>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</si>
  <si>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</si>
  <si>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</si>
  <si>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</si>
  <si>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</si>
  <si>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</si>
  <si>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</si>
  <si>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</si>
  <si>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</si>
  <si>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</si>
  <si>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</si>
  <si>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</si>
  <si>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</si>
  <si>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</si>
  <si>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</si>
  <si>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</si>
  <si>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</si>
  <si>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</si>
  <si>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</si>
  <si>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</si>
  <si>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</si>
  <si>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</si>
  <si>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</si>
  <si>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</si>
  <si>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</si>
  <si>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</si>
  <si>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</si>
  <si>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</si>
  <si>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</si>
  <si>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</si>
  <si>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</si>
  <si>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</si>
  <si>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</si>
  <si>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</si>
  <si>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</si>
  <si>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</si>
  <si>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</si>
  <si>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</si>
  <si>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</si>
  <si>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</si>
  <si>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</si>
  <si>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</si>
  <si>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</si>
  <si>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</si>
  <si>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</si>
  <si>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</si>
  <si>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</si>
  <si>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</si>
  <si>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</si>
  <si>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</si>
  <si>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</si>
  <si>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</si>
  <si>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</si>
  <si>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</si>
  <si>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</si>
  <si>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</si>
  <si>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</si>
  <si>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</si>
  <si>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</si>
  <si>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</si>
  <si>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</si>
  <si>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</si>
  <si>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</si>
  <si>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</si>
  <si>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</si>
  <si>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</si>
  <si>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</si>
  <si>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</si>
  <si>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</si>
  <si>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</si>
  <si>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</si>
  <si>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</si>
  <si>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</si>
  <si>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</si>
  <si>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</si>
  <si>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</si>
  <si>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</si>
  <si>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</si>
  <si>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</si>
  <si>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</si>
  <si>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</si>
  <si>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</si>
  <si>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</si>
  <si>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</si>
  <si>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</si>
  <si>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</si>
  <si>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</si>
  <si>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</si>
  <si>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</si>
  <si>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</si>
  <si>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</si>
  <si>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</si>
  <si>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</si>
  <si>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</si>
  <si>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</si>
  <si>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</si>
  <si>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</si>
  <si>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</si>
  <si>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</si>
  <si>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</si>
  <si>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</si>
  <si>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</si>
  <si>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</si>
  <si>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</si>
  <si>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</si>
  <si>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</si>
  <si>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</si>
  <si>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</si>
  <si>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</si>
  <si>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</si>
  <si>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</si>
  <si>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</si>
  <si>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</si>
  <si>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</si>
  <si>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</si>
  <si>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</si>
  <si>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</si>
  <si>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</si>
  <si>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</si>
  <si>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</si>
  <si>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</si>
  <si>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</si>
  <si>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</si>
  <si>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</si>
  <si>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</si>
  <si>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</si>
  <si>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</si>
  <si>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</si>
  <si>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</si>
  <si>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</si>
  <si>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</si>
  <si>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</si>
  <si>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</si>
  <si>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</si>
  <si>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</si>
  <si>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</si>
  <si>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</si>
  <si>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</si>
  <si>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</si>
  <si>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</si>
  <si>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</si>
  <si>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</si>
  <si>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</si>
  <si>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</si>
  <si>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</si>
  <si>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</si>
  <si>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</si>
  <si>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</si>
  <si>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</si>
  <si>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</si>
  <si>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</si>
  <si>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</si>
  <si>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</si>
  <si>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</si>
  <si>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</si>
  <si>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</si>
  <si>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</si>
  <si>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</si>
  <si>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</si>
  <si>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</si>
  <si>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</si>
  <si>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</si>
  <si>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</si>
  <si>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</si>
  <si>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</si>
  <si>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</si>
  <si>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</si>
  <si>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</si>
  <si>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</si>
  <si>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</si>
  <si>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</si>
  <si>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</si>
  <si>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</si>
  <si>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</si>
  <si>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</si>
  <si>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</si>
  <si>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</si>
  <si>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</si>
  <si>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</si>
  <si>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</si>
  <si>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</si>
  <si>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</si>
  <si>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</si>
  <si>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</si>
  <si>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</si>
  <si>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</si>
  <si>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</si>
  <si>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</si>
  <si>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</si>
  <si>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</si>
  <si>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</si>
  <si>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</si>
  <si>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</si>
  <si>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</si>
  <si>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</si>
  <si>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</si>
  <si>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</si>
  <si>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</si>
  <si>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</si>
  <si>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</si>
  <si>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</si>
  <si>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</si>
  <si>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</si>
  <si>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</si>
  <si>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</si>
  <si>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</si>
  <si>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</si>
  <si>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</si>
  <si>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</si>
  <si>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</si>
  <si>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</si>
  <si>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</si>
  <si>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</si>
  <si>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</si>
  <si>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</si>
  <si>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</si>
  <si>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</si>
  <si>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</si>
  <si>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</si>
  <si>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</si>
  <si>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</si>
  <si>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</si>
  <si>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</si>
  <si>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</si>
  <si>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</si>
  <si>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</si>
  <si>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</si>
  <si>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</si>
  <si>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</si>
  <si>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</si>
  <si>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</si>
  <si>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</si>
  <si>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</si>
  <si>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</si>
  <si>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</si>
  <si>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</si>
  <si>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</si>
  <si>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</si>
  <si>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</si>
  <si>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</si>
  <si>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</si>
  <si>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</si>
  <si>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</si>
  <si>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</si>
  <si>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</si>
  <si>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</si>
  <si>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</si>
  <si>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</si>
  <si>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</si>
  <si>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</si>
  <si>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</si>
  <si>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</si>
  <si>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</si>
  <si>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</si>
  <si>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</si>
  <si>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</si>
  <si>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</si>
  <si>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</si>
  <si>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</si>
  <si>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</si>
  <si>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</si>
  <si>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</si>
  <si>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</si>
  <si>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</si>
  <si>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</si>
  <si>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</si>
  <si>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</si>
  <si>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</si>
  <si>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</si>
  <si>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</si>
  <si>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</si>
  <si>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</si>
  <si>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</si>
  <si>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</si>
  <si>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</si>
  <si>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</si>
  <si>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</si>
  <si>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</si>
  <si>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</si>
  <si>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</si>
  <si>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</si>
  <si>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</si>
  <si>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</si>
  <si>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</si>
  <si>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</si>
  <si>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</si>
  <si>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</si>
  <si>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</si>
  <si>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</si>
  <si>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</si>
  <si>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</si>
  <si>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</si>
  <si>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</si>
  <si>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</si>
  <si>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</si>
  <si>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</si>
  <si>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</si>
  <si>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</si>
  <si>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</si>
  <si>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</si>
  <si>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</si>
  <si>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</si>
  <si>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</si>
  <si>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</si>
  <si>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</si>
  <si>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</si>
  <si>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</si>
  <si>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</si>
  <si>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</si>
  <si>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</si>
  <si>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</si>
  <si>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</si>
  <si>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</si>
  <si>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</si>
  <si>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</si>
  <si>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</si>
  <si>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</si>
  <si>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</si>
  <si>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</si>
  <si>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</si>
  <si>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</si>
  <si>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</si>
  <si>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</si>
  <si>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</si>
  <si>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</si>
  <si>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</si>
  <si>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</si>
  <si>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</si>
  <si>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</si>
  <si>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</si>
  <si>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</si>
  <si>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</si>
  <si>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</si>
  <si>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</si>
  <si>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</si>
  <si>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</si>
  <si>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</si>
  <si>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</si>
  <si>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</si>
  <si>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</si>
  <si>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</si>
  <si>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</si>
  <si>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</si>
  <si>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</si>
  <si>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</si>
  <si>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</si>
  <si>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</si>
  <si>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</si>
  <si>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</si>
  <si>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</si>
  <si>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</si>
  <si>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</si>
  <si>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</si>
  <si>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</si>
  <si>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</si>
  <si>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</si>
  <si>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</si>
  <si>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</si>
  <si>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</si>
  <si>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</si>
  <si>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</si>
  <si>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</si>
  <si>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</si>
  <si>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</si>
  <si>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</si>
  <si>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</si>
  <si>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</si>
  <si>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</si>
  <si>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</si>
  <si>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</si>
  <si>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</si>
  <si>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</si>
  <si>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</si>
  <si>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</si>
  <si>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</si>
  <si>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</si>
  <si>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</si>
  <si>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</si>
  <si>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</si>
  <si>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</si>
  <si>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</si>
  <si>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</si>
  <si>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</si>
  <si>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</si>
  <si>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</si>
  <si>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</si>
  <si>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</si>
  <si>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</si>
  <si>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</si>
  <si>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</si>
  <si>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</si>
  <si>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</si>
  <si>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</si>
  <si>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</si>
  <si>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</si>
  <si>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</si>
  <si>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</si>
  <si>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</si>
  <si>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</si>
  <si>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</si>
  <si>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</si>
  <si>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</si>
  <si>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</si>
  <si>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</si>
  <si>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</si>
  <si>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</si>
  <si>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</si>
  <si>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</si>
  <si>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</si>
  <si>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</si>
  <si>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</si>
  <si>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</si>
  <si>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</si>
  <si>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</si>
  <si>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</si>
  <si>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</si>
  <si>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</si>
  <si>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</si>
  <si>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</si>
  <si>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</si>
  <si>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</si>
  <si>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</si>
  <si>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</si>
  <si>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</si>
  <si>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</si>
  <si>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</si>
  <si>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</si>
  <si>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</si>
  <si>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</si>
  <si>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</si>
  <si>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</si>
  <si>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</si>
  <si>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</si>
  <si>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</si>
  <si>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</si>
  <si>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</si>
  <si>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</si>
  <si>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</si>
  <si>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</si>
  <si>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</si>
  <si>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</si>
  <si>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</si>
  <si>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</si>
  <si>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</si>
  <si>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</si>
  <si>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</si>
  <si>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</si>
  <si>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</si>
  <si>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</si>
  <si>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</si>
  <si>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</si>
  <si>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</si>
  <si>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</si>
  <si>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</si>
  <si>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</si>
  <si>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</si>
  <si>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</si>
  <si>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</si>
  <si>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</si>
  <si>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</si>
  <si>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</si>
  <si>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</si>
  <si>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</si>
  <si>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</si>
  <si>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</si>
  <si>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</si>
  <si>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</si>
  <si>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</si>
  <si>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</si>
  <si>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</si>
  <si>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</si>
  <si>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</si>
  <si>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</si>
  <si>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</si>
  <si>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</si>
  <si>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</si>
  <si>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</si>
  <si>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</si>
  <si>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</si>
  <si>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</si>
  <si>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</si>
  <si>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</si>
  <si>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</si>
  <si>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</si>
  <si>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</si>
  <si>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</si>
  <si>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</si>
  <si>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</si>
  <si>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</si>
  <si>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</si>
  <si>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</si>
  <si>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</si>
  <si>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</si>
  <si>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</si>
  <si>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</si>
  <si>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</si>
  <si>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</si>
  <si>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</si>
  <si>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</si>
  <si>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</si>
  <si>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</si>
  <si>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</si>
  <si>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</si>
  <si>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</si>
  <si>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</si>
  <si>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</si>
  <si>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</si>
  <si>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</si>
  <si>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</si>
  <si>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</si>
  <si>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</si>
  <si>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</si>
  <si>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</si>
  <si>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</si>
  <si>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</si>
  <si>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</si>
  <si>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</si>
  <si>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</si>
  <si>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</si>
  <si>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</si>
  <si>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</si>
  <si>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</si>
  <si>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</si>
  <si>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</si>
  <si>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</si>
  <si>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</si>
  <si>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</si>
  <si>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</si>
  <si>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</si>
  <si>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</si>
  <si>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</si>
  <si>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</si>
  <si>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</si>
  <si>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</si>
  <si>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</si>
  <si>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</si>
  <si>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</si>
  <si>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</si>
  <si>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</si>
  <si>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</si>
  <si>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</si>
  <si>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</si>
  <si>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</si>
  <si>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</si>
  <si>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</si>
  <si>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</si>
  <si>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</si>
  <si>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</si>
  <si>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</si>
  <si>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</si>
  <si>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</si>
  <si>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</si>
  <si>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</si>
  <si>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ЦСГВС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</si>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</sst>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5" formatCode="000000"/>
    <numFmt numFmtId="176" formatCode="#,##0.000"/>
    <numFmt numFmtId="177" formatCode="#,##0.0000"/>
    <numFmt numFmtId="178"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5"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6"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6"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7"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7"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7"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5"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7"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7" fontId="19" fillId="38" borderId="13" xfId="0" applyFont="1" applyFill="1" applyBorder="1" applyNumberFormat="1">
      <alignment horizontal="right" vertical="center" wrapText="1"/>
      <protection locked="0"/>
    </xf>
    <xf numFmtId="177"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6"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6"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6"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6" fontId="37" fillId="0" borderId="12" xfId="0" applyFont="1" applyBorder="1" applyNumberFormat="1">
      <alignment horizontal="right" vertical="center" wrapText="1"/>
    </xf>
    <xf numFmtId="176"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6"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5"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5"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5"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5" fontId="34" fillId="0" borderId="58" xfId="0" applyFont="1" applyBorder="1" applyNumberFormat="1">
      <alignment horizontal="center" vertical="center" wrapText="1"/>
    </xf>
    <xf numFmtId="175"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8" fontId="0" fillId="38" borderId="12" xfId="0" applyFont="1" applyFill="1" applyBorder="1" applyNumberFormat="1">
      <alignment horizontal="left" vertical="center" wrapText="1" indent="1"/>
      <protection locked="0"/>
    </xf>
    <xf numFmtId="178" fontId="0" fillId="0" borderId="12" xfId="0" applyFont="1" applyBorder="1" applyNumberFormat="1">
      <alignment horizontal="left" vertical="center" wrapText="1" indent="1"/>
    </xf>
    <xf numFmtId="178" fontId="0" fillId="38" borderId="12" xfId="0" applyFont="1" applyFill="1" applyBorder="1" applyNumberFormat="1">
      <alignment horizontal="center" vertical="center" wrapText="1"/>
      <protection locked="0"/>
    </xf>
    <xf numFmtId="178" fontId="37" fillId="0" borderId="0" xfId="0" applyFont="1" applyNumberFormat="1">
      <alignment horizontal="center" vertical="center" wrapText="1"/>
    </xf>
    <xf numFmtId="178" fontId="37" fillId="0" borderId="12" xfId="0" applyFont="1" applyBorder="1" applyNumberFormat="1">
      <alignment horizontal="center" vertical="center" wrapText="1"/>
    </xf>
    <xf numFmtId="178" fontId="0" fillId="38" borderId="12" xfId="0" applyFont="1" applyFill="1" applyBorder="1" applyNumberFormat="1">
      <alignment horizontal="left" vertical="center" wrapText="1"/>
      <protection locked="0"/>
    </xf>
    <xf numFmtId="178" fontId="0" fillId="35" borderId="12" xfId="0" applyFont="1" applyFill="1" applyBorder="1" applyNumberFormat="1">
      <alignment horizontal="left" vertical="center" wrapText="1" indent="1"/>
      <protection locked="0"/>
    </xf>
    <xf numFmtId="178"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8" fontId="0" fillId="38" borderId="14" xfId="0" applyFont="1" applyFill="1" applyBorder="1" applyNumberFormat="1">
      <alignment horizontal="left" vertical="center" wrapText="1"/>
      <protection locked="0"/>
    </xf>
    <xf numFmtId="178"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8"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8"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8"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8"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8"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5" fontId="19" fillId="0" borderId="17" xfId="0" applyFont="1" applyBorder="1" applyNumberFormat="1">
      <alignment horizontal="center" vertical="center" wrapText="1"/>
    </xf>
    <xf numFmtId="175" fontId="19" fillId="0" borderId="23" xfId="0" applyFont="1" applyBorder="1" applyNumberFormat="1">
      <alignment horizontal="center" vertical="center" wrapText="1"/>
    </xf>
    <xf numFmtId="175" fontId="19" fillId="0" borderId="14" xfId="0" applyFont="1" applyBorder="1" applyNumberFormat="1">
      <alignment horizontal="center" vertical="center" wrapText="1"/>
    </xf>
    <xf numFmtId="175" fontId="19" fillId="0" borderId="15" xfId="0" applyFont="1" applyBorder="1" applyNumberFormat="1">
      <alignment horizontal="center" vertical="center" wrapText="1"/>
    </xf>
    <xf numFmtId="175"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5" fontId="19" fillId="0" borderId="12" xfId="0" applyFont="1" applyBorder="1" applyNumberFormat="1">
      <alignment horizontal="center" vertical="center" wrapText="1"/>
    </xf>
    <xf numFmtId="175" fontId="34" fillId="0" borderId="57" xfId="0" applyFont="1" applyBorder="1" applyNumberFormat="1">
      <alignment horizontal="center" vertical="center" wrapText="1"/>
    </xf>
    <xf numFmtId="175" fontId="34" fillId="0" borderId="51" xfId="0" applyFont="1" applyBorder="1" applyNumberFormat="1">
      <alignment horizontal="center" vertical="center" wrapText="1"/>
    </xf>
    <xf numFmtId="175"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8"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8"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8"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1A816-DBC6-895C-593C-F8439BD8FF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70DC-6772-EA47-299C-2515DABAAF6A}"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79</v>
      </c>
      <c r="H1" s="485" t="s">
        <v>80</v>
      </c>
      <c r="I1" s="485" t="s">
        <v>81</v>
      </c>
      <c r="P1" s="485" t="s">
        <v>79</v>
      </c>
      <c r="Q1" s="485" t="s">
        <v>80</v>
      </c>
      <c r="R1" s="485" t="s">
        <v>81</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374</v>
      </c>
      <c r="F4" s="2072"/>
      <c r="G4" s="2073"/>
      <c r="H4" s="2073"/>
      <c r="I4" s="2074"/>
      <c r="J4" s="487"/>
      <c r="K4" s="449"/>
      <c r="L4" s="449"/>
    </row>
    <row s="1661" customFormat="1" customHeight="1" ht="17.25">
      <c r="A5" s="755"/>
      <c r="D5" s="817"/>
      <c r="E5" s="2060" t="str">
        <f>IF(org=0,"Не определено",org)</f>
        <v>ИМУП «ПОСЖИЛКОМСЕРВИС»</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284</v>
      </c>
      <c r="F7" s="2042"/>
      <c r="G7" s="2043"/>
      <c r="H7" s="2043"/>
      <c r="I7" s="2043"/>
      <c r="J7" s="2043"/>
      <c r="K7" s="2043"/>
      <c r="L7" s="2048" t="s">
        <v>285</v>
      </c>
    </row>
    <row customHeight="1" ht="45">
      <c r="D8" s="446"/>
      <c r="E8" s="469" t="s">
        <v>84</v>
      </c>
      <c r="F8" s="818"/>
      <c r="G8" s="461" t="s">
        <v>82</v>
      </c>
      <c r="H8" s="461" t="s">
        <v>83</v>
      </c>
      <c r="I8" s="411" t="s">
        <v>81</v>
      </c>
      <c r="J8" s="411" t="s">
        <v>375</v>
      </c>
      <c r="K8" s="411" t="s">
        <v>376</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377</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55</v>
      </c>
      <c r="K12" s="1160" t="s">
        <v>18</v>
      </c>
      <c r="L12" s="2075"/>
      <c r="M12" s="507"/>
      <c r="N12" s="507"/>
      <c r="O12" s="507"/>
      <c r="P12" s="512" t="s">
        <v>378</v>
      </c>
      <c r="Q12" s="512" t="s">
        <v>379</v>
      </c>
      <c r="R12" s="513" t="s">
        <v>380</v>
      </c>
      <c r="S12" s="507" t="s">
        <v>381</v>
      </c>
      <c r="T12" s="507"/>
      <c r="U12" s="507"/>
      <c r="V12" s="507"/>
    </row>
    <row customHeight="1" ht="15">
      <c r="A13" s="1934"/>
      <c r="B13" s="501"/>
      <c r="D13" s="502"/>
      <c r="E13" s="402"/>
      <c r="F13" s="525"/>
      <c r="G13" s="413" t="s">
        <v>99</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0EB52-2BEA-0566-D28B-0655F4B6A19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23"/>
      <c r="R6" s="344"/>
      <c r="S6" s="1327">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27">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27">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55</v>
      </c>
      <c r="AJ17" s="2086"/>
      <c r="AK17" s="2085" t="s">
        <v>55</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440" t="s">
        <v>420</v>
      </c>
      <c r="X40" s="2099" t="s">
        <v>421</v>
      </c>
      <c r="Y40" s="2101"/>
      <c r="Z40" s="2099" t="s">
        <v>422</v>
      </c>
      <c r="AA40" s="2100"/>
      <c r="AB40" s="2101"/>
      <c r="AC40" s="2111"/>
      <c r="AD40" s="2116" t="s">
        <v>419</v>
      </c>
      <c r="AE40" s="2097" t="s">
        <v>420</v>
      </c>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224" t="s">
        <v>432</v>
      </c>
      <c r="AA41" s="2102" t="s">
        <v>433</v>
      </c>
      <c r="AB41" s="2103"/>
      <c r="AC41" s="2112"/>
      <c r="AD41" s="2117"/>
      <c r="AE41" s="2098"/>
      <c r="AF41" s="1225" t="s">
        <v>430</v>
      </c>
      <c r="AG41" s="1225" t="s">
        <v>431</v>
      </c>
      <c r="AH41" s="1331"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154</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154</v>
      </c>
      <c r="B44" s="1381" t="s">
        <v>155</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154</v>
      </c>
      <c r="B45" s="1381" t="s">
        <v>155</v>
      </c>
      <c r="C45" s="1381" t="s">
        <v>156</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3.25">
      <c r="A46" s="1381" t="s">
        <v>154</v>
      </c>
      <c r="B46" s="1381" t="s">
        <v>155</v>
      </c>
      <c r="C46" s="1381" t="s">
        <v>156</v>
      </c>
      <c r="D46" s="1381" t="s">
        <v>157</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154</v>
      </c>
      <c r="B47" s="1381" t="s">
        <v>155</v>
      </c>
      <c r="C47" s="1381" t="s">
        <v>156</v>
      </c>
      <c r="D47" s="1381" t="s">
        <v>157</v>
      </c>
      <c r="E47" s="2089"/>
      <c r="F47" s="2089"/>
      <c r="G47" s="2089"/>
      <c r="H47" s="2089"/>
      <c r="I47" s="2090" t="str">
        <f>S46&amp;".1"</f>
        <v>....1</v>
      </c>
      <c r="J47" s="1381"/>
      <c r="K47" s="1381"/>
      <c r="L47" s="1382" t="s">
        <v>389</v>
      </c>
      <c r="P47" s="2092">
        <v>1</v>
      </c>
      <c r="Q47" s="1223"/>
      <c r="R47" s="344"/>
      <c r="S47" s="1229"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154</v>
      </c>
      <c r="B48" s="1381" t="s">
        <v>155</v>
      </c>
      <c r="C48" s="1381" t="s">
        <v>156</v>
      </c>
      <c r="D48" s="1381" t="s">
        <v>157</v>
      </c>
      <c r="E48" s="2089"/>
      <c r="F48" s="2089"/>
      <c r="G48" s="2089"/>
      <c r="H48" s="2089"/>
      <c r="I48" s="2091"/>
      <c r="J48" s="2090" t="str">
        <f>I47&amp;".1"</f>
        <v>....1.1</v>
      </c>
      <c r="K48" s="1381"/>
      <c r="L48" s="1382" t="s">
        <v>392</v>
      </c>
      <c r="P48" s="2092"/>
      <c r="Q48" s="2092">
        <v>1</v>
      </c>
      <c r="R48" s="345"/>
      <c r="S48" s="1229"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3.25">
      <c r="A49" s="1381" t="s">
        <v>154</v>
      </c>
      <c r="B49" s="1381" t="s">
        <v>155</v>
      </c>
      <c r="C49" s="1381" t="s">
        <v>156</v>
      </c>
      <c r="D49" s="1381" t="s">
        <v>157</v>
      </c>
      <c r="E49" s="2089"/>
      <c r="F49" s="2089"/>
      <c r="G49" s="2089"/>
      <c r="H49" s="2089"/>
      <c r="I49" s="2091"/>
      <c r="J49" s="2091"/>
      <c r="K49" s="2090" t="str">
        <f>J48&amp;".1"</f>
        <v>....1.1.1</v>
      </c>
      <c r="L49" s="1382" t="s">
        <v>395</v>
      </c>
      <c r="P49" s="2092"/>
      <c r="Q49" s="2092"/>
      <c r="R49" s="345">
        <v>1</v>
      </c>
      <c r="S49" s="1229"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396</v>
      </c>
      <c r="AN49" s="507">
        <f>STRCHECKDATE(V50:AL50)</f>
      </c>
      <c r="AO49" s="496"/>
      <c r="AP49" s="496" t="str">
        <f>IF(T49="","",T49)</f>
        <v/>
      </c>
      <c r="AQ49" s="496"/>
      <c r="AR49" s="496"/>
    </row>
    <row customHeight="1" ht="0.75">
      <c r="A50" s="1381" t="s">
        <v>154</v>
      </c>
      <c r="B50" s="1381" t="s">
        <v>155</v>
      </c>
      <c r="C50" s="1381" t="s">
        <v>156</v>
      </c>
      <c r="D50" s="1381" t="s">
        <v>157</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154</v>
      </c>
      <c r="B51" s="1381" t="s">
        <v>155</v>
      </c>
      <c r="C51" s="1381" t="s">
        <v>156</v>
      </c>
      <c r="D51" s="1381" t="s">
        <v>157</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154</v>
      </c>
      <c r="B52" s="1381" t="s">
        <v>155</v>
      </c>
      <c r="C52" s="1381" t="s">
        <v>156</v>
      </c>
      <c r="D52" s="1381" t="s">
        <v>157</v>
      </c>
      <c r="E52" s="2089"/>
      <c r="F52" s="2089"/>
      <c r="G52" s="2089"/>
      <c r="H52" s="2089"/>
      <c r="I52" s="2090"/>
      <c r="J52" s="1381"/>
      <c r="K52" s="1381"/>
      <c r="L52" s="1382"/>
      <c r="P52" s="2092"/>
      <c r="Q52" s="1223"/>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154</v>
      </c>
      <c r="B53" s="1381" t="s">
        <v>155</v>
      </c>
      <c r="C53" s="1381" t="s">
        <v>156</v>
      </c>
      <c r="D53" s="1381" t="s">
        <v>157</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154</v>
      </c>
      <c r="B54" s="1361" t="s">
        <v>155</v>
      </c>
      <c r="C54" s="1361" t="s">
        <v>156</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154</v>
      </c>
      <c r="B55" s="1361" t="s">
        <v>155</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154</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9F1B6-A5E6-06B3-7FBB-4D1DDB3D1E7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49"/>
      <c r="R6" s="344"/>
      <c r="S6" s="1354">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t="s">
        <v>420</v>
      </c>
      <c r="X40" s="2099" t="s">
        <v>421</v>
      </c>
      <c r="Y40" s="2101"/>
      <c r="Z40" s="2099" t="s">
        <v>435</v>
      </c>
      <c r="AA40" s="2100"/>
      <c r="AB40" s="2101"/>
      <c r="AC40" s="2111"/>
      <c r="AD40" s="2116" t="s">
        <v>419</v>
      </c>
      <c r="AE40" s="2097" t="s">
        <v>420</v>
      </c>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160</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160</v>
      </c>
      <c r="B44" s="1381" t="s">
        <v>161</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160</v>
      </c>
      <c r="B45" s="1381" t="s">
        <v>161</v>
      </c>
      <c r="C45" s="1381" t="s">
        <v>162</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160</v>
      </c>
      <c r="B46" s="1381" t="s">
        <v>161</v>
      </c>
      <c r="C46" s="1381" t="s">
        <v>162</v>
      </c>
      <c r="D46" s="1381" t="s">
        <v>163</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160</v>
      </c>
      <c r="B47" s="1381" t="s">
        <v>161</v>
      </c>
      <c r="C47" s="1381" t="s">
        <v>162</v>
      </c>
      <c r="D47" s="1381" t="s">
        <v>163</v>
      </c>
      <c r="E47" s="2089"/>
      <c r="F47" s="2089"/>
      <c r="G47" s="2089"/>
      <c r="H47" s="2089"/>
      <c r="I47" s="2090" t="str">
        <f>S46&amp;".1"</f>
        <v>....1</v>
      </c>
      <c r="J47" s="1381"/>
      <c r="K47" s="1381"/>
      <c r="L47" s="1382" t="s">
        <v>389</v>
      </c>
      <c r="P47" s="2092">
        <v>1</v>
      </c>
      <c r="Q47" s="1349"/>
      <c r="R47" s="344"/>
      <c r="S47" s="1354"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160</v>
      </c>
      <c r="B48" s="1381" t="s">
        <v>161</v>
      </c>
      <c r="C48" s="1381" t="s">
        <v>162</v>
      </c>
      <c r="D48" s="1381" t="s">
        <v>163</v>
      </c>
      <c r="E48" s="2089"/>
      <c r="F48" s="2089"/>
      <c r="G48" s="2089"/>
      <c r="H48" s="2089"/>
      <c r="I48" s="2091"/>
      <c r="J48" s="2090" t="str">
        <f>I47&amp;".1"</f>
        <v>....1.1</v>
      </c>
      <c r="K48" s="1381"/>
      <c r="L48" s="1382" t="s">
        <v>392</v>
      </c>
      <c r="P48" s="2092"/>
      <c r="Q48" s="2092">
        <v>1</v>
      </c>
      <c r="R48" s="345"/>
      <c r="S48" s="1354"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160</v>
      </c>
      <c r="B49" s="1381" t="s">
        <v>161</v>
      </c>
      <c r="C49" s="1381" t="s">
        <v>162</v>
      </c>
      <c r="D49" s="1381" t="s">
        <v>163</v>
      </c>
      <c r="E49" s="2089"/>
      <c r="F49" s="2089"/>
      <c r="G49" s="2089"/>
      <c r="H49" s="2089"/>
      <c r="I49" s="2091"/>
      <c r="J49" s="2091"/>
      <c r="K49" s="2090" t="str">
        <f>J48&amp;".1"</f>
        <v>....1.1.1</v>
      </c>
      <c r="L49" s="1382" t="s">
        <v>395</v>
      </c>
      <c r="P49" s="2092"/>
      <c r="Q49" s="2092"/>
      <c r="R49" s="345">
        <v>1</v>
      </c>
      <c r="S49" s="1354"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396</v>
      </c>
      <c r="AN49" s="507">
        <f>STRCHECKDATE(V50:AL50)</f>
      </c>
      <c r="AO49" s="496"/>
      <c r="AP49" s="496" t="str">
        <f>IF(T49="","",T49)</f>
        <v/>
      </c>
      <c r="AQ49" s="496"/>
      <c r="AR49" s="496"/>
    </row>
    <row customHeight="1" ht="0.75">
      <c r="A50" s="1381" t="s">
        <v>160</v>
      </c>
      <c r="B50" s="1381" t="s">
        <v>161</v>
      </c>
      <c r="C50" s="1381" t="s">
        <v>162</v>
      </c>
      <c r="D50" s="1381" t="s">
        <v>163</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160</v>
      </c>
      <c r="B51" s="1381" t="s">
        <v>161</v>
      </c>
      <c r="C51" s="1381" t="s">
        <v>162</v>
      </c>
      <c r="D51" s="1381" t="s">
        <v>163</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160</v>
      </c>
      <c r="B52" s="1381" t="s">
        <v>161</v>
      </c>
      <c r="C52" s="1381" t="s">
        <v>162</v>
      </c>
      <c r="D52" s="1381" t="s">
        <v>163</v>
      </c>
      <c r="E52" s="2089"/>
      <c r="F52" s="2089"/>
      <c r="G52" s="2089"/>
      <c r="H52" s="2089"/>
      <c r="I52" s="2090"/>
      <c r="J52" s="1381"/>
      <c r="K52" s="1381"/>
      <c r="L52" s="1382"/>
      <c r="P52" s="2092"/>
      <c r="Q52" s="1349"/>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160</v>
      </c>
      <c r="B53" s="1381" t="s">
        <v>161</v>
      </c>
      <c r="C53" s="1381" t="s">
        <v>162</v>
      </c>
      <c r="D53" s="1381" t="s">
        <v>163</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160</v>
      </c>
      <c r="B54" s="1361" t="s">
        <v>161</v>
      </c>
      <c r="C54" s="1361" t="s">
        <v>162</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160</v>
      </c>
      <c r="B55" s="1361" t="s">
        <v>161</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160</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AA3D-DBD8-8C25-C9D2-36E9FCE0494E}"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49"/>
      <c r="R6" s="344"/>
      <c r="S6" s="1354">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312"/>
      <c r="W8" s="746"/>
      <c r="X8" s="312"/>
      <c r="Y8" s="381"/>
      <c r="Z8" s="2093"/>
      <c r="AA8" s="1962" t="s">
        <v>55</v>
      </c>
      <c r="AB8" s="2093"/>
      <c r="AC8" s="1962" t="s">
        <v>55</v>
      </c>
      <c r="AD8" s="312"/>
      <c r="AE8" s="746"/>
      <c r="AF8" s="312"/>
      <c r="AG8" s="381"/>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27"/>
      <c r="Y39" s="2127"/>
      <c r="Z39" s="2108"/>
      <c r="AA39" s="2108"/>
      <c r="AB39" s="2109"/>
      <c r="AC39" s="2110" t="s">
        <v>416</v>
      </c>
      <c r="AD39" s="2107" t="s">
        <v>415</v>
      </c>
      <c r="AE39" s="2108"/>
      <c r="AF39" s="2127"/>
      <c r="AG39" s="2127"/>
      <c r="AH39" s="2108"/>
      <c r="AI39" s="2108"/>
      <c r="AJ39" s="2109"/>
      <c r="AK39" s="2110" t="s">
        <v>417</v>
      </c>
      <c r="AL39" s="2113" t="s">
        <v>418</v>
      </c>
      <c r="AM39" s="1952"/>
    </row>
    <row customHeight="1" ht="23.25">
      <c r="Q40" s="368"/>
      <c r="R40" s="368"/>
      <c r="S40" s="2106"/>
      <c r="T40" s="2043"/>
      <c r="U40" s="1027"/>
      <c r="V40" s="2123" t="s">
        <v>419</v>
      </c>
      <c r="W40" s="2125" t="s">
        <v>420</v>
      </c>
      <c r="X40" s="1394" t="s">
        <v>421</v>
      </c>
      <c r="Y40" s="1394"/>
      <c r="Z40" s="2100" t="s">
        <v>422</v>
      </c>
      <c r="AA40" s="2100"/>
      <c r="AB40" s="2101"/>
      <c r="AC40" s="2111"/>
      <c r="AD40" s="2123" t="s">
        <v>419</v>
      </c>
      <c r="AE40" s="2125" t="s">
        <v>420</v>
      </c>
      <c r="AF40" s="1394" t="s">
        <v>421</v>
      </c>
      <c r="AG40" s="1394"/>
      <c r="AH40" s="2100" t="s">
        <v>422</v>
      </c>
      <c r="AI40" s="2100"/>
      <c r="AJ40" s="2101"/>
      <c r="AK40" s="2111"/>
      <c r="AL40" s="2114"/>
      <c r="AM40" s="1952"/>
    </row>
    <row s="1283" customFormat="1" customHeight="1" ht="23.2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M41" s="1380"/>
      <c r="N41" s="1380"/>
      <c r="O41" s="1380"/>
      <c r="P41" s="1346"/>
      <c r="Q41" s="368"/>
      <c r="R41" s="368"/>
      <c r="S41" s="2106"/>
      <c r="T41" s="2043"/>
      <c r="U41" s="282"/>
      <c r="V41" s="2124"/>
      <c r="W41" s="2126"/>
      <c r="X41" s="1391" t="s">
        <v>430</v>
      </c>
      <c r="Y41" s="1391" t="s">
        <v>431</v>
      </c>
      <c r="Z41" s="1352" t="s">
        <v>432</v>
      </c>
      <c r="AA41" s="2102" t="s">
        <v>433</v>
      </c>
      <c r="AB41" s="2103"/>
      <c r="AC41" s="2112"/>
      <c r="AD41" s="2124"/>
      <c r="AE41" s="2126"/>
      <c r="AF41" s="1391" t="s">
        <v>430</v>
      </c>
      <c r="AG41" s="1391" t="s">
        <v>431</v>
      </c>
      <c r="AH41" s="1352" t="s">
        <v>432</v>
      </c>
      <c r="AI41" s="2102" t="s">
        <v>433</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190</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190</v>
      </c>
      <c r="B44" s="1381" t="s">
        <v>191</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190</v>
      </c>
      <c r="B45" s="1381" t="s">
        <v>191</v>
      </c>
      <c r="C45" s="1381" t="s">
        <v>192</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190</v>
      </c>
      <c r="B46" s="1381" t="s">
        <v>191</v>
      </c>
      <c r="C46" s="1381" t="s">
        <v>192</v>
      </c>
      <c r="D46" s="1381" t="s">
        <v>193</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190</v>
      </c>
      <c r="B47" s="1381" t="s">
        <v>191</v>
      </c>
      <c r="C47" s="1381" t="s">
        <v>192</v>
      </c>
      <c r="D47" s="1381" t="s">
        <v>193</v>
      </c>
      <c r="E47" s="2089"/>
      <c r="F47" s="2089"/>
      <c r="G47" s="2089"/>
      <c r="H47" s="2089"/>
      <c r="I47" s="2090" t="str">
        <f>S46&amp;".1"</f>
        <v>....1</v>
      </c>
      <c r="J47" s="1381"/>
      <c r="K47" s="1381"/>
      <c r="L47" s="1382" t="s">
        <v>389</v>
      </c>
      <c r="P47" s="2092">
        <v>1</v>
      </c>
      <c r="Q47" s="1349"/>
      <c r="R47" s="344"/>
      <c r="S47" s="1354"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190</v>
      </c>
      <c r="B48" s="1381" t="s">
        <v>191</v>
      </c>
      <c r="C48" s="1381" t="s">
        <v>192</v>
      </c>
      <c r="D48" s="1381" t="s">
        <v>193</v>
      </c>
      <c r="E48" s="2089"/>
      <c r="F48" s="2089"/>
      <c r="G48" s="2089"/>
      <c r="H48" s="2089"/>
      <c r="I48" s="2091"/>
      <c r="J48" s="2090" t="str">
        <f>I47&amp;".1"</f>
        <v>....1.1</v>
      </c>
      <c r="K48" s="1381"/>
      <c r="L48" s="1382" t="s">
        <v>392</v>
      </c>
      <c r="P48" s="2092"/>
      <c r="Q48" s="2092">
        <v>1</v>
      </c>
      <c r="R48" s="345"/>
      <c r="S48" s="1354"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190</v>
      </c>
      <c r="B49" s="1381" t="s">
        <v>191</v>
      </c>
      <c r="C49" s="1381" t="s">
        <v>192</v>
      </c>
      <c r="D49" s="1381" t="s">
        <v>193</v>
      </c>
      <c r="E49" s="2089"/>
      <c r="F49" s="2089"/>
      <c r="G49" s="2089"/>
      <c r="H49" s="2089"/>
      <c r="I49" s="2091"/>
      <c r="J49" s="2091"/>
      <c r="K49" s="2090" t="str">
        <f>J48&amp;".1"</f>
        <v>....1.1.1</v>
      </c>
      <c r="L49" s="1382" t="s">
        <v>395</v>
      </c>
      <c r="P49" s="2092"/>
      <c r="Q49" s="2092"/>
      <c r="R49" s="345">
        <v>1</v>
      </c>
      <c r="S49" s="1354" t="str">
        <f>$K49</f>
        <v>....1.1.1</v>
      </c>
      <c r="T49" s="1365"/>
      <c r="U49" s="280"/>
      <c r="V49" s="312"/>
      <c r="W49" s="746"/>
      <c r="X49" s="312"/>
      <c r="Y49" s="381"/>
      <c r="Z49" s="2093"/>
      <c r="AA49" s="1962" t="s">
        <v>55</v>
      </c>
      <c r="AB49" s="2093"/>
      <c r="AC49" s="1962" t="s">
        <v>55</v>
      </c>
      <c r="AD49" s="312"/>
      <c r="AE49" s="746"/>
      <c r="AF49" s="312"/>
      <c r="AG49" s="381"/>
      <c r="AH49" s="2093"/>
      <c r="AI49" s="1962" t="s">
        <v>55</v>
      </c>
      <c r="AJ49" s="2095"/>
      <c r="AK49" s="1962" t="s">
        <v>55</v>
      </c>
      <c r="AL49" s="1366"/>
      <c r="AM49" s="2118" t="s">
        <v>396</v>
      </c>
      <c r="AN49" s="507">
        <f>STRCHECKDATE(V50:AL50)</f>
      </c>
      <c r="AO49" s="496"/>
      <c r="AP49" s="496" t="str">
        <f>IF(T49="","",T49)</f>
        <v/>
      </c>
      <c r="AQ49" s="496"/>
      <c r="AR49" s="496"/>
    </row>
    <row customHeight="1" ht="0.75">
      <c r="A50" s="1381" t="s">
        <v>190</v>
      </c>
      <c r="B50" s="1381" t="s">
        <v>191</v>
      </c>
      <c r="C50" s="1381" t="s">
        <v>192</v>
      </c>
      <c r="D50" s="1381" t="s">
        <v>193</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190</v>
      </c>
      <c r="B51" s="1381" t="s">
        <v>191</v>
      </c>
      <c r="C51" s="1381" t="s">
        <v>192</v>
      </c>
      <c r="D51" s="1381" t="s">
        <v>193</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190</v>
      </c>
      <c r="B52" s="1381" t="s">
        <v>191</v>
      </c>
      <c r="C52" s="1381" t="s">
        <v>192</v>
      </c>
      <c r="D52" s="1381" t="s">
        <v>193</v>
      </c>
      <c r="E52" s="2089"/>
      <c r="F52" s="2089"/>
      <c r="G52" s="2089"/>
      <c r="H52" s="2089"/>
      <c r="I52" s="2090"/>
      <c r="J52" s="1381"/>
      <c r="K52" s="1381"/>
      <c r="L52" s="1382"/>
      <c r="P52" s="2092"/>
      <c r="Q52" s="1349"/>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190</v>
      </c>
      <c r="B53" s="1381" t="s">
        <v>191</v>
      </c>
      <c r="C53" s="1381" t="s">
        <v>192</v>
      </c>
      <c r="D53" s="1381" t="s">
        <v>193</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190</v>
      </c>
      <c r="B54" s="1361" t="s">
        <v>191</v>
      </c>
      <c r="C54" s="1361" t="s">
        <v>192</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190</v>
      </c>
      <c r="B55" s="1361" t="s">
        <v>191</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190</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2C7FC-16C2-AA62-B2BE-0881DF9DDCD5}"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166</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166</v>
      </c>
      <c r="B44" s="1381" t="s">
        <v>167</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166</v>
      </c>
      <c r="B45" s="1381" t="s">
        <v>167</v>
      </c>
      <c r="C45" s="1381" t="s">
        <v>168</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166</v>
      </c>
      <c r="B46" s="1381" t="s">
        <v>167</v>
      </c>
      <c r="C46" s="1381" t="s">
        <v>168</v>
      </c>
      <c r="D46" s="1381" t="s">
        <v>169</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166</v>
      </c>
      <c r="B47" s="1361" t="s">
        <v>167</v>
      </c>
      <c r="C47" s="1361" t="s">
        <v>168</v>
      </c>
      <c r="D47" s="1361" t="s">
        <v>169</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166</v>
      </c>
      <c r="B48" s="1381" t="s">
        <v>167</v>
      </c>
      <c r="C48" s="1381" t="s">
        <v>168</v>
      </c>
      <c r="D48" s="1381" t="s">
        <v>169</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166</v>
      </c>
      <c r="B49" s="1381" t="s">
        <v>167</v>
      </c>
      <c r="C49" s="1381" t="s">
        <v>168</v>
      </c>
      <c r="D49" s="1381" t="s">
        <v>169</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75">
      <c r="A50" s="1381" t="s">
        <v>166</v>
      </c>
      <c r="B50" s="1381" t="s">
        <v>167</v>
      </c>
      <c r="C50" s="1381" t="s">
        <v>168</v>
      </c>
      <c r="D50" s="1381" t="s">
        <v>169</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166</v>
      </c>
      <c r="B51" s="1381" t="s">
        <v>167</v>
      </c>
      <c r="C51" s="1381" t="s">
        <v>168</v>
      </c>
      <c r="D51" s="1381" t="s">
        <v>169</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166</v>
      </c>
      <c r="B52" s="1381" t="s">
        <v>167</v>
      </c>
      <c r="C52" s="1381" t="s">
        <v>168</v>
      </c>
      <c r="D52" s="1381" t="s">
        <v>169</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166</v>
      </c>
      <c r="B53" s="1381" t="s">
        <v>167</v>
      </c>
      <c r="C53" s="1381" t="s">
        <v>168</v>
      </c>
      <c r="D53" s="1381" t="s">
        <v>169</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166</v>
      </c>
      <c r="B54" s="1361" t="s">
        <v>167</v>
      </c>
      <c r="C54" s="1361" t="s">
        <v>168</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166</v>
      </c>
      <c r="B55" s="1361" t="s">
        <v>167</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166</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99B11-760B-5EEB-FF73-3382F34CA8A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178</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178</v>
      </c>
      <c r="B44" s="1381" t="s">
        <v>179</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178</v>
      </c>
      <c r="B45" s="1381" t="s">
        <v>179</v>
      </c>
      <c r="C45" s="1381" t="s">
        <v>180</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178</v>
      </c>
      <c r="B46" s="1381" t="s">
        <v>179</v>
      </c>
      <c r="C46" s="1381" t="s">
        <v>180</v>
      </c>
      <c r="D46" s="1381" t="s">
        <v>181</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178</v>
      </c>
      <c r="B47" s="1361" t="s">
        <v>179</v>
      </c>
      <c r="C47" s="1361" t="s">
        <v>180</v>
      </c>
      <c r="D47" s="1361" t="s">
        <v>181</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178</v>
      </c>
      <c r="B48" s="1381" t="s">
        <v>179</v>
      </c>
      <c r="C48" s="1381" t="s">
        <v>180</v>
      </c>
      <c r="D48" s="1381" t="s">
        <v>181</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178</v>
      </c>
      <c r="B49" s="1381" t="s">
        <v>179</v>
      </c>
      <c r="C49" s="1381" t="s">
        <v>180</v>
      </c>
      <c r="D49" s="1381" t="s">
        <v>181</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75">
      <c r="A50" s="1381" t="s">
        <v>178</v>
      </c>
      <c r="B50" s="1381" t="s">
        <v>179</v>
      </c>
      <c r="C50" s="1381" t="s">
        <v>180</v>
      </c>
      <c r="D50" s="1381" t="s">
        <v>181</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178</v>
      </c>
      <c r="B51" s="1381" t="s">
        <v>179</v>
      </c>
      <c r="C51" s="1381" t="s">
        <v>180</v>
      </c>
      <c r="D51" s="1381" t="s">
        <v>181</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178</v>
      </c>
      <c r="B52" s="1381" t="s">
        <v>179</v>
      </c>
      <c r="C52" s="1381" t="s">
        <v>180</v>
      </c>
      <c r="D52" s="1381" t="s">
        <v>181</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178</v>
      </c>
      <c r="B53" s="1381" t="s">
        <v>179</v>
      </c>
      <c r="C53" s="1381" t="s">
        <v>180</v>
      </c>
      <c r="D53" s="1381" t="s">
        <v>181</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178</v>
      </c>
      <c r="B54" s="1361" t="s">
        <v>179</v>
      </c>
      <c r="C54" s="1361" t="s">
        <v>180</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178</v>
      </c>
      <c r="B55" s="1361" t="s">
        <v>179</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178</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73894-A311-9F9A-13A3-813F4B38746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ИМУП «ПОСЖИЛКОМСЕРВИС»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184</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184</v>
      </c>
      <c r="B44" s="1381" t="s">
        <v>185</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184</v>
      </c>
      <c r="B45" s="1381" t="s">
        <v>185</v>
      </c>
      <c r="C45" s="1381" t="s">
        <v>186</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184</v>
      </c>
      <c r="B46" s="1381" t="s">
        <v>185</v>
      </c>
      <c r="C46" s="1381" t="s">
        <v>186</v>
      </c>
      <c r="D46" s="1381" t="s">
        <v>187</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184</v>
      </c>
      <c r="B47" s="1361" t="s">
        <v>185</v>
      </c>
      <c r="C47" s="1361" t="s">
        <v>186</v>
      </c>
      <c r="D47" s="1361" t="s">
        <v>187</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184</v>
      </c>
      <c r="B48" s="1381" t="s">
        <v>185</v>
      </c>
      <c r="C48" s="1381" t="s">
        <v>186</v>
      </c>
      <c r="D48" s="1381" t="s">
        <v>187</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184</v>
      </c>
      <c r="B49" s="1381" t="s">
        <v>185</v>
      </c>
      <c r="C49" s="1381" t="s">
        <v>186</v>
      </c>
      <c r="D49" s="1381" t="s">
        <v>187</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
      <c r="A50" s="1381" t="s">
        <v>184</v>
      </c>
      <c r="B50" s="1381" t="s">
        <v>185</v>
      </c>
      <c r="C50" s="1381" t="s">
        <v>186</v>
      </c>
      <c r="D50" s="1381" t="s">
        <v>187</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184</v>
      </c>
      <c r="B51" s="1381" t="s">
        <v>185</v>
      </c>
      <c r="C51" s="1381" t="s">
        <v>186</v>
      </c>
      <c r="D51" s="1381" t="s">
        <v>187</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184</v>
      </c>
      <c r="B52" s="1381" t="s">
        <v>185</v>
      </c>
      <c r="C52" s="1381" t="s">
        <v>186</v>
      </c>
      <c r="D52" s="1381" t="s">
        <v>187</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184</v>
      </c>
      <c r="B53" s="1381" t="s">
        <v>185</v>
      </c>
      <c r="C53" s="1381" t="s">
        <v>186</v>
      </c>
      <c r="D53" s="1381" t="s">
        <v>187</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184</v>
      </c>
      <c r="B54" s="1361" t="s">
        <v>185</v>
      </c>
      <c r="C54" s="1361" t="s">
        <v>186</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184</v>
      </c>
      <c r="B55" s="1361" t="s">
        <v>185</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184</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02578-7A4A-B6D8-D312-3327699DFC9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121</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382</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383</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384</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385</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386</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387</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388</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389</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392</v>
      </c>
      <c r="N7" s="505"/>
      <c r="O7" s="315"/>
      <c r="Q7" s="2092"/>
      <c r="R7" s="2092">
        <v>1</v>
      </c>
      <c r="S7" s="514"/>
      <c r="T7" s="345"/>
      <c r="U7" s="1354">
        <f>$J7</f>
      </c>
      <c r="V7" s="267" t="s">
        <v>393</v>
      </c>
      <c r="W7" s="280"/>
      <c r="X7" s="2076"/>
      <c r="Y7" s="2077"/>
      <c r="Z7" s="2077"/>
      <c r="AA7" s="2077"/>
      <c r="AB7" s="2077"/>
      <c r="AC7" s="2069"/>
      <c r="AD7" s="2069"/>
      <c r="AE7" s="2069"/>
      <c r="AF7" s="2152"/>
      <c r="AG7" s="2076"/>
      <c r="AH7" s="2077"/>
      <c r="AI7" s="2077"/>
      <c r="AJ7" s="2077"/>
      <c r="AK7" s="2077"/>
      <c r="AL7" s="2077"/>
      <c r="AM7" s="2077"/>
      <c r="AN7" s="2077"/>
      <c r="AO7" s="2077"/>
      <c r="AP7" s="2078"/>
      <c r="AQ7" s="1274" t="s">
        <v>394</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395</v>
      </c>
      <c r="N8" s="505"/>
      <c r="O8" s="315"/>
      <c r="P8" s="315"/>
      <c r="Q8" s="2092"/>
      <c r="R8" s="2092"/>
      <c r="S8" s="2092">
        <v>1</v>
      </c>
      <c r="T8" s="345"/>
      <c r="U8" s="1354">
        <f>$K8</f>
      </c>
      <c r="V8" s="1365"/>
      <c r="W8" s="280"/>
      <c r="X8" s="746"/>
      <c r="Y8" s="746"/>
      <c r="Z8" s="746"/>
      <c r="AA8" s="746"/>
      <c r="AB8" s="1423"/>
      <c r="AC8" s="2093"/>
      <c r="AD8" s="1962" t="s">
        <v>55</v>
      </c>
      <c r="AE8" s="2093"/>
      <c r="AF8" s="1962" t="s">
        <v>55</v>
      </c>
      <c r="AG8" s="1425"/>
      <c r="AH8" s="746"/>
      <c r="AI8" s="746"/>
      <c r="AJ8" s="746"/>
      <c r="AK8" s="1273"/>
      <c r="AL8" s="2093"/>
      <c r="AM8" s="1962" t="s">
        <v>55</v>
      </c>
      <c r="AN8" s="2093"/>
      <c r="AO8" s="1962" t="s">
        <v>55</v>
      </c>
      <c r="AP8" s="312"/>
      <c r="AQ8" s="1325" t="s">
        <v>437</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438</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439</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397</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398</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400</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401</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402</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55</v>
      </c>
      <c r="AN19" s="2086"/>
      <c r="AO19" s="2085" t="s">
        <v>55</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403</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404</v>
      </c>
      <c r="Q26" s="1380"/>
      <c r="R26" s="1389"/>
      <c r="S26" s="1389"/>
      <c r="T26" s="1389"/>
      <c r="U26" s="724"/>
      <c r="V26" s="1156" t="s">
        <v>405</v>
      </c>
      <c r="AD26" s="166" t="s">
        <v>406</v>
      </c>
      <c r="AF26" s="166" t="s">
        <v>407</v>
      </c>
      <c r="AG26" s="1156" t="s">
        <v>405</v>
      </c>
      <c r="AM26" s="166" t="s">
        <v>408</v>
      </c>
      <c r="AO26" s="166" t="s">
        <v>407</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ИМУП «ПОСЖИЛКОМСЕРВИС»</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38</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409</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410</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39</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411</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412</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413</v>
      </c>
      <c r="AG40" s="314"/>
      <c r="AH40" s="314"/>
      <c r="AI40" s="314"/>
      <c r="AJ40" s="314"/>
      <c r="AK40" s="314"/>
      <c r="AL40" s="314"/>
      <c r="AM40" s="314"/>
      <c r="AN40" s="314"/>
      <c r="AO40" s="259" t="s">
        <v>413</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284</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285</v>
      </c>
    </row>
    <row customHeight="1" ht="14.25">
      <c r="R43" s="368"/>
      <c r="S43" s="368"/>
      <c r="T43" s="368"/>
      <c r="U43" s="2106" t="s">
        <v>84</v>
      </c>
      <c r="V43" s="2043" t="s">
        <v>414</v>
      </c>
      <c r="W43" s="281"/>
      <c r="X43" s="2107" t="s">
        <v>415</v>
      </c>
      <c r="Y43" s="2127"/>
      <c r="Z43" s="2127"/>
      <c r="AA43" s="2127"/>
      <c r="AB43" s="2127"/>
      <c r="AC43" s="2108"/>
      <c r="AD43" s="2108"/>
      <c r="AE43" s="2109"/>
      <c r="AF43" s="2110" t="s">
        <v>416</v>
      </c>
      <c r="AG43" s="2107" t="s">
        <v>415</v>
      </c>
      <c r="AH43" s="2127"/>
      <c r="AI43" s="2127"/>
      <c r="AJ43" s="2127"/>
      <c r="AK43" s="2127"/>
      <c r="AL43" s="2108"/>
      <c r="AM43" s="2108"/>
      <c r="AN43" s="2109"/>
      <c r="AO43" s="2110" t="s">
        <v>417</v>
      </c>
      <c r="AP43" s="2113" t="s">
        <v>418</v>
      </c>
      <c r="AQ43" s="1952"/>
    </row>
    <row customHeight="1" ht="33.75">
      <c r="R44" s="368"/>
      <c r="S44" s="368"/>
      <c r="T44" s="368"/>
      <c r="U44" s="2106"/>
      <c r="V44" s="2043"/>
      <c r="W44" s="1027"/>
      <c r="X44" s="2125" t="s">
        <v>440</v>
      </c>
      <c r="Y44" s="2134" t="s">
        <v>441</v>
      </c>
      <c r="Z44" s="2134"/>
      <c r="AA44" s="2134"/>
      <c r="AB44" s="2134"/>
      <c r="AC44" s="2125" t="s">
        <v>422</v>
      </c>
      <c r="AD44" s="2441"/>
      <c r="AE44" s="2144"/>
      <c r="AF44" s="2111"/>
      <c r="AG44" s="2125" t="s">
        <v>440</v>
      </c>
      <c r="AH44" s="2134" t="s">
        <v>441</v>
      </c>
      <c r="AI44" s="2134"/>
      <c r="AJ44" s="2134"/>
      <c r="AK44" s="2134"/>
      <c r="AL44" s="2125" t="s">
        <v>422</v>
      </c>
      <c r="AM44" s="2441"/>
      <c r="AN44" s="2144"/>
      <c r="AO44" s="2111"/>
      <c r="AP44" s="2114"/>
      <c r="AQ44" s="1952"/>
    </row>
    <row customHeight="1" ht="14.25">
      <c r="R45" s="368"/>
      <c r="S45" s="368"/>
      <c r="T45" s="368"/>
      <c r="U45" s="2106"/>
      <c r="V45" s="2043"/>
      <c r="W45" s="1027"/>
      <c r="X45" s="2147"/>
      <c r="Y45" s="2135" t="s">
        <v>442</v>
      </c>
      <c r="Z45" s="2102" t="s">
        <v>443</v>
      </c>
      <c r="AA45" s="2138"/>
      <c r="AB45" s="2103"/>
      <c r="AC45" s="2126"/>
      <c r="AD45" s="2442"/>
      <c r="AE45" s="2146"/>
      <c r="AF45" s="2111"/>
      <c r="AG45" s="2147"/>
      <c r="AH45" s="2135" t="s">
        <v>442</v>
      </c>
      <c r="AI45" s="2102" t="s">
        <v>443</v>
      </c>
      <c r="AJ45" s="2138"/>
      <c r="AK45" s="2103"/>
      <c r="AL45" s="2126"/>
      <c r="AM45" s="2442"/>
      <c r="AN45" s="2146"/>
      <c r="AO45" s="2111"/>
      <c r="AP45" s="2114"/>
      <c r="AQ45" s="1952"/>
    </row>
    <row customHeight="1" ht="25.5">
      <c r="R46" s="368"/>
      <c r="S46" s="368"/>
      <c r="T46" s="368"/>
      <c r="U46" s="2106"/>
      <c r="V46" s="2043"/>
      <c r="W46" s="1027"/>
      <c r="X46" s="2147"/>
      <c r="Y46" s="2136"/>
      <c r="Z46" s="2135" t="s">
        <v>444</v>
      </c>
      <c r="AA46" s="2102" t="s">
        <v>445</v>
      </c>
      <c r="AB46" s="2103"/>
      <c r="AC46" s="2135" t="s">
        <v>432</v>
      </c>
      <c r="AD46" s="2139" t="s">
        <v>433</v>
      </c>
      <c r="AE46" s="2140"/>
      <c r="AF46" s="2111"/>
      <c r="AG46" s="2147"/>
      <c r="AH46" s="2136"/>
      <c r="AI46" s="2135" t="s">
        <v>444</v>
      </c>
      <c r="AJ46" s="2102" t="s">
        <v>445</v>
      </c>
      <c r="AK46" s="2103"/>
      <c r="AL46" s="2135" t="s">
        <v>432</v>
      </c>
      <c r="AM46" s="2139" t="s">
        <v>433</v>
      </c>
      <c r="AN46" s="2140"/>
      <c r="AO46" s="2111"/>
      <c r="AP46" s="2114"/>
      <c r="AQ46" s="1952"/>
    </row>
    <row customHeight="1" ht="62.25">
      <c r="A47" s="1276"/>
      <c r="B47" s="1276" t="s">
        <v>133</v>
      </c>
      <c r="C47" s="1276" t="s">
        <v>134</v>
      </c>
      <c r="D47" s="1276" t="s">
        <v>135</v>
      </c>
      <c r="E47" s="1328" t="s">
        <v>423</v>
      </c>
      <c r="F47" s="1328" t="s">
        <v>424</v>
      </c>
      <c r="G47" s="1328" t="s">
        <v>425</v>
      </c>
      <c r="H47" s="1328" t="s">
        <v>426</v>
      </c>
      <c r="I47" s="1328" t="s">
        <v>427</v>
      </c>
      <c r="J47" s="1328" t="s">
        <v>428</v>
      </c>
      <c r="K47" s="1328" t="s">
        <v>429</v>
      </c>
      <c r="L47" s="1328" t="s">
        <v>446</v>
      </c>
      <c r="M47" s="1328" t="s">
        <v>404</v>
      </c>
      <c r="R47" s="368"/>
      <c r="S47" s="368"/>
      <c r="T47" s="368"/>
      <c r="U47" s="2106"/>
      <c r="V47" s="2043"/>
      <c r="W47" s="282"/>
      <c r="X47" s="2126"/>
      <c r="Y47" s="2137"/>
      <c r="Z47" s="2137"/>
      <c r="AA47" s="1225" t="s">
        <v>447</v>
      </c>
      <c r="AB47" s="1225" t="s">
        <v>448</v>
      </c>
      <c r="AC47" s="2137"/>
      <c r="AD47" s="2141"/>
      <c r="AE47" s="2142"/>
      <c r="AF47" s="2112"/>
      <c r="AG47" s="2126"/>
      <c r="AH47" s="2137"/>
      <c r="AI47" s="2137"/>
      <c r="AJ47" s="1225" t="s">
        <v>447</v>
      </c>
      <c r="AK47" s="1225" t="s">
        <v>448</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106</v>
      </c>
      <c r="V48" s="1269" t="s">
        <v>107</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172</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121</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172</v>
      </c>
      <c r="B50" s="1284" t="s">
        <v>173</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383</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384</v>
      </c>
      <c r="AS50" s="496"/>
      <c r="AT50" s="496" t="str">
        <f>IF(V50="","",V50)</f>
        <v>Территория действия тарифа</v>
      </c>
      <c r="AU50" s="496"/>
      <c r="AV50" s="496"/>
    </row>
    <row customHeight="1" ht="22.5">
      <c r="A51" s="1284" t="s">
        <v>172</v>
      </c>
      <c r="B51" s="1284" t="s">
        <v>173</v>
      </c>
      <c r="C51" s="1284" t="s">
        <v>174</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385</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386</v>
      </c>
      <c r="AS51" s="496"/>
      <c r="AT51" s="496" t="str">
        <f>IF(V51="","",V51)</f>
        <v>Наименование системы теплоснабжения </v>
      </c>
      <c r="AU51" s="496"/>
      <c r="AV51" s="496"/>
    </row>
    <row customHeight="1" ht="21">
      <c r="A52" s="1284" t="s">
        <v>172</v>
      </c>
      <c r="B52" s="1284" t="s">
        <v>173</v>
      </c>
      <c r="C52" s="1284" t="s">
        <v>174</v>
      </c>
      <c r="D52" s="1284" t="s">
        <v>175</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387</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388</v>
      </c>
      <c r="AS52" s="496"/>
      <c r="AT52" s="496" t="str">
        <f>IF(V52="","",V52)</f>
        <v>Источник тепловой энергии  </v>
      </c>
      <c r="AU52" s="496"/>
      <c r="AV52" s="496"/>
    </row>
    <row s="1668" customFormat="1" customHeight="1" ht="0">
      <c r="A53" s="1393" t="s">
        <v>172</v>
      </c>
      <c r="B53" s="1393" t="s">
        <v>173</v>
      </c>
      <c r="C53" s="1393" t="s">
        <v>174</v>
      </c>
      <c r="D53" s="1393" t="s">
        <v>175</v>
      </c>
      <c r="E53" s="2149"/>
      <c r="F53" s="2149"/>
      <c r="G53" s="2149"/>
      <c r="H53" s="2151"/>
      <c r="I53" s="1952" t="str">
        <f>U52&amp;".1"</f>
        <v>....1</v>
      </c>
      <c r="J53" s="1393"/>
      <c r="K53" s="1393"/>
      <c r="L53" s="1393"/>
      <c r="M53" s="1399" t="s">
        <v>389</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172</v>
      </c>
      <c r="B54" s="1284" t="s">
        <v>173</v>
      </c>
      <c r="C54" s="1284" t="s">
        <v>174</v>
      </c>
      <c r="D54" s="1284" t="s">
        <v>175</v>
      </c>
      <c r="E54" s="2149"/>
      <c r="F54" s="2149"/>
      <c r="G54" s="2149"/>
      <c r="H54" s="2151"/>
      <c r="I54" s="1936"/>
      <c r="J54" s="1952" t="str">
        <f>I53&amp;".1"</f>
        <v>....1.1</v>
      </c>
      <c r="K54" s="1284"/>
      <c r="L54" s="1284"/>
      <c r="M54" s="1328" t="s">
        <v>392</v>
      </c>
      <c r="Q54" s="2092"/>
      <c r="R54" s="2092">
        <v>1</v>
      </c>
      <c r="S54" s="514"/>
      <c r="T54" s="345"/>
      <c r="U54" s="1354" t="str">
        <f>$J54</f>
        <v>....1.1</v>
      </c>
      <c r="V54" s="267" t="s">
        <v>393</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394</v>
      </c>
      <c r="AS54" s="496"/>
      <c r="AT54" s="496" t="str">
        <f>IF(V54="","",V54)</f>
        <v>Группа потребителей</v>
      </c>
      <c r="AU54" s="496"/>
      <c r="AV54" s="496"/>
    </row>
    <row customHeight="1" ht="21">
      <c r="A55" s="1284" t="s">
        <v>172</v>
      </c>
      <c r="B55" s="1284" t="s">
        <v>173</v>
      </c>
      <c r="C55" s="1284" t="s">
        <v>174</v>
      </c>
      <c r="D55" s="1284" t="s">
        <v>175</v>
      </c>
      <c r="E55" s="2149"/>
      <c r="F55" s="2149"/>
      <c r="G55" s="2149"/>
      <c r="H55" s="2151"/>
      <c r="I55" s="1936"/>
      <c r="J55" s="1936"/>
      <c r="K55" s="1952" t="str">
        <f>J54&amp;".1"</f>
        <v>....1.1.1</v>
      </c>
      <c r="L55" s="119"/>
      <c r="M55" s="1328" t="s">
        <v>395</v>
      </c>
      <c r="Q55" s="2092"/>
      <c r="R55" s="2092"/>
      <c r="S55" s="514">
        <v>1</v>
      </c>
      <c r="T55" s="345"/>
      <c r="U55" s="1354" t="str">
        <f>$K55</f>
        <v>....1.1.1</v>
      </c>
      <c r="V55" s="1365"/>
      <c r="W55" s="280"/>
      <c r="X55" s="746"/>
      <c r="Y55" s="746"/>
      <c r="Z55" s="746"/>
      <c r="AA55" s="746"/>
      <c r="AB55" s="1423"/>
      <c r="AC55" s="2093"/>
      <c r="AD55" s="1962" t="s">
        <v>55</v>
      </c>
      <c r="AE55" s="2093"/>
      <c r="AF55" s="1962" t="s">
        <v>55</v>
      </c>
      <c r="AG55" s="1425"/>
      <c r="AH55" s="746"/>
      <c r="AI55" s="746"/>
      <c r="AJ55" s="746"/>
      <c r="AK55" s="1273"/>
      <c r="AL55" s="2093"/>
      <c r="AM55" s="1962" t="s">
        <v>55</v>
      </c>
      <c r="AN55" s="2093"/>
      <c r="AO55" s="1962" t="s">
        <v>55</v>
      </c>
      <c r="AP55" s="1366"/>
      <c r="AQ55" s="1325" t="s">
        <v>437</v>
      </c>
      <c r="AR55" s="507">
        <f>STRCHECKDATE(X57:AP57)</f>
      </c>
      <c r="AS55" s="496"/>
      <c r="AT55" s="496" t="str">
        <f>IF(V55="","",V55)</f>
        <v/>
      </c>
      <c r="AU55" s="496"/>
      <c r="AV55" s="496"/>
    </row>
    <row customHeight="1" ht="11.25">
      <c r="A56" s="1284" t="s">
        <v>172</v>
      </c>
      <c r="B56" s="1284" t="s">
        <v>173</v>
      </c>
      <c r="C56" s="1284" t="s">
        <v>174</v>
      </c>
      <c r="D56" s="1284" t="s">
        <v>175</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438</v>
      </c>
      <c r="AR56" s="507">
        <f>STRCHECKDATE(X58:AP58)</f>
      </c>
      <c r="AS56" s="496"/>
      <c r="AT56" s="496" t="str">
        <f>IF(V56="","",V56)</f>
        <v/>
      </c>
      <c r="AU56" s="496"/>
      <c r="AV56" s="496"/>
    </row>
    <row customHeight="1" ht="0">
      <c r="A57" s="1284" t="s">
        <v>172</v>
      </c>
      <c r="B57" s="1284" t="s">
        <v>173</v>
      </c>
      <c r="C57" s="1284" t="s">
        <v>174</v>
      </c>
      <c r="D57" s="1284" t="s">
        <v>175</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172</v>
      </c>
      <c r="B58" s="1284" t="s">
        <v>173</v>
      </c>
      <c r="C58" s="1284" t="s">
        <v>174</v>
      </c>
      <c r="D58" s="1284" t="s">
        <v>175</v>
      </c>
      <c r="E58" s="2149"/>
      <c r="F58" s="2149"/>
      <c r="G58" s="2149"/>
      <c r="H58" s="2151"/>
      <c r="I58" s="1936"/>
      <c r="J58" s="1936"/>
      <c r="K58" s="1952"/>
      <c r="L58" s="1284"/>
      <c r="M58" s="1328"/>
      <c r="Q58" s="2092"/>
      <c r="R58" s="2092"/>
      <c r="S58" s="1349"/>
      <c r="T58" s="344"/>
      <c r="U58" s="1296"/>
      <c r="V58" s="269" t="s">
        <v>439</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172</v>
      </c>
      <c r="B59" s="1284" t="s">
        <v>173</v>
      </c>
      <c r="C59" s="1284" t="s">
        <v>174</v>
      </c>
      <c r="D59" s="1284" t="s">
        <v>175</v>
      </c>
      <c r="E59" s="2149"/>
      <c r="F59" s="2149"/>
      <c r="G59" s="2149"/>
      <c r="H59" s="2151"/>
      <c r="I59" s="1936"/>
      <c r="J59" s="1952"/>
      <c r="K59" s="1284"/>
      <c r="L59" s="1284"/>
      <c r="M59" s="1328"/>
      <c r="Q59" s="2092"/>
      <c r="R59" s="2092"/>
      <c r="S59" s="1349"/>
      <c r="T59" s="344"/>
      <c r="U59" s="1296"/>
      <c r="V59" s="268" t="s">
        <v>397</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172</v>
      </c>
      <c r="B60" s="1284" t="s">
        <v>173</v>
      </c>
      <c r="C60" s="1284" t="s">
        <v>174</v>
      </c>
      <c r="D60" s="1284" t="s">
        <v>175</v>
      </c>
      <c r="E60" s="2149"/>
      <c r="F60" s="2149"/>
      <c r="G60" s="2149"/>
      <c r="H60" s="2151"/>
      <c r="I60" s="1952"/>
      <c r="J60" s="1284"/>
      <c r="K60" s="1284"/>
      <c r="L60" s="1284"/>
      <c r="M60" s="1328"/>
      <c r="Q60" s="2092"/>
      <c r="R60" s="1349"/>
      <c r="S60" s="1349"/>
      <c r="T60" s="344"/>
      <c r="U60" s="1296"/>
      <c r="V60" s="356" t="s">
        <v>398</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172</v>
      </c>
      <c r="B61" s="1284" t="s">
        <v>173</v>
      </c>
      <c r="C61" s="1284" t="s">
        <v>174</v>
      </c>
      <c r="D61" s="1284" t="s">
        <v>175</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172</v>
      </c>
      <c r="B62" s="1393" t="s">
        <v>173</v>
      </c>
      <c r="C62" s="1393" t="s">
        <v>174</v>
      </c>
      <c r="D62" s="1392"/>
      <c r="E62" s="2149"/>
      <c r="F62" s="2149"/>
      <c r="G62" s="2148"/>
      <c r="H62" s="1392"/>
      <c r="I62" s="1392"/>
      <c r="J62" s="1392"/>
      <c r="K62" s="1392"/>
      <c r="L62" s="1392"/>
      <c r="M62" s="1395"/>
      <c r="N62" s="1396"/>
      <c r="O62" s="1396"/>
      <c r="P62" s="339"/>
      <c r="Q62" s="1334"/>
      <c r="R62" s="1335"/>
      <c r="S62" s="1334"/>
      <c r="T62" s="1334"/>
      <c r="U62" s="1340"/>
      <c r="V62" s="1343" t="s">
        <v>400</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172</v>
      </c>
      <c r="B63" s="1393" t="s">
        <v>173</v>
      </c>
      <c r="C63" s="1392"/>
      <c r="D63" s="1392"/>
      <c r="E63" s="2149"/>
      <c r="F63" s="2148"/>
      <c r="G63" s="1392"/>
      <c r="H63" s="1392"/>
      <c r="I63" s="1392"/>
      <c r="J63" s="1392"/>
      <c r="K63" s="1392"/>
      <c r="L63" s="1392"/>
      <c r="M63" s="1395"/>
      <c r="N63" s="1397"/>
      <c r="O63" s="1397"/>
      <c r="P63" s="339"/>
      <c r="Q63" s="1334"/>
      <c r="R63" s="1335"/>
      <c r="S63" s="1334"/>
      <c r="T63" s="1334"/>
      <c r="U63" s="1340"/>
      <c r="V63" s="1343" t="s">
        <v>401</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172</v>
      </c>
      <c r="B64" s="1393"/>
      <c r="C64" s="1393"/>
      <c r="D64" s="1393"/>
      <c r="E64" s="2148"/>
      <c r="F64" s="1393"/>
      <c r="G64" s="1393"/>
      <c r="H64" s="1393"/>
      <c r="I64" s="1393"/>
      <c r="J64" s="1393"/>
      <c r="K64" s="1393"/>
      <c r="L64" s="1393"/>
      <c r="M64" s="1399"/>
      <c r="N64" s="1397"/>
      <c r="O64" s="1397"/>
      <c r="P64" s="339"/>
      <c r="Q64" s="376"/>
      <c r="R64" s="1362"/>
      <c r="S64" s="376"/>
      <c r="T64" s="376"/>
      <c r="U64" s="1340"/>
      <c r="V64" s="1343" t="s">
        <v>402</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434</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760EB-9318-101C-00F9-D0F30224189A}"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121</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382</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383</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384</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385</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386</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387</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388</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389</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55</v>
      </c>
      <c r="Z8" s="2093"/>
      <c r="AA8" s="1962" t="s">
        <v>55</v>
      </c>
      <c r="AB8" s="1962" t="s">
        <v>53</v>
      </c>
      <c r="AC8" s="2161"/>
      <c r="AD8" s="2038">
        <v>1</v>
      </c>
      <c r="AE8" s="2174"/>
      <c r="AF8" s="1962" t="s">
        <v>53</v>
      </c>
      <c r="AG8" s="2161"/>
      <c r="AH8" s="2038">
        <v>1</v>
      </c>
      <c r="AI8" s="2174"/>
      <c r="AJ8" s="1962" t="s">
        <v>53</v>
      </c>
      <c r="AK8" s="293"/>
      <c r="AL8" s="1355">
        <v>1</v>
      </c>
      <c r="AM8" s="1416"/>
      <c r="AN8" s="746"/>
      <c r="AO8" s="1273"/>
      <c r="AP8" s="1759"/>
      <c r="AQ8" s="1477" t="s">
        <v>55</v>
      </c>
      <c r="AR8" s="1759"/>
      <c r="AS8" s="1477" t="s">
        <v>55</v>
      </c>
      <c r="AT8" s="1366"/>
      <c r="AU8" s="2118" t="s">
        <v>449</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450</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451</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452</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453</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400</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401</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402</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53</v>
      </c>
      <c r="AC19" s="1519"/>
      <c r="AD19" s="544">
        <v>1</v>
      </c>
      <c r="AE19" s="1520"/>
      <c r="AF19" s="1342" t="s">
        <v>53</v>
      </c>
      <c r="AG19" s="1519"/>
      <c r="AH19" s="544">
        <v>1</v>
      </c>
      <c r="AI19" s="1520"/>
      <c r="AJ19" s="1342" t="s">
        <v>53</v>
      </c>
      <c r="AK19" s="1521"/>
      <c r="AL19" s="544">
        <v>1</v>
      </c>
      <c r="AM19" s="1524"/>
      <c r="AN19" s="1421"/>
      <c r="AO19" s="1422"/>
      <c r="AP19" s="1761"/>
      <c r="AQ19" s="1478" t="s">
        <v>55</v>
      </c>
      <c r="AR19" s="1761"/>
      <c r="AS19" s="1478" t="s">
        <v>55</v>
      </c>
    </row>
    <row customHeight="1" ht="14.25" hidden="1">
      <c r="AV20" s="492"/>
      <c r="AW20" s="492"/>
      <c r="AX20" s="492"/>
      <c r="AY20" s="492"/>
      <c r="AZ20" s="492"/>
    </row>
    <row customHeight="1" ht="14.25" hidden="1">
      <c r="O21" s="1385" t="s">
        <v>403</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404</v>
      </c>
      <c r="P23" s="1526"/>
      <c r="Q23" s="1528"/>
      <c r="R23" s="1528"/>
      <c r="Y23" s="1525" t="s">
        <v>406</v>
      </c>
      <c r="AA23" s="1525" t="s">
        <v>407</v>
      </c>
      <c r="AB23" s="1525" t="s">
        <v>454</v>
      </c>
      <c r="AE23" s="1525" t="s">
        <v>455</v>
      </c>
      <c r="AF23" s="1525" t="s">
        <v>454</v>
      </c>
      <c r="AI23" s="1525" t="s">
        <v>456</v>
      </c>
      <c r="AJ23" s="1525" t="s">
        <v>454</v>
      </c>
      <c r="AM23" s="1525" t="s">
        <v>457</v>
      </c>
      <c r="AQ23" s="1525" t="s">
        <v>406</v>
      </c>
      <c r="AS23" s="1525" t="s">
        <v>407</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ИМУП «ПОСЖИЛКОМСЕРВИС»</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38</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409</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410</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39</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409</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410</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413</v>
      </c>
      <c r="AB37" s="314"/>
      <c r="AC37" s="314"/>
      <c r="AD37" s="314"/>
      <c r="AE37" s="314"/>
      <c r="AF37" s="314"/>
      <c r="AG37" s="314"/>
      <c r="AH37" s="314"/>
      <c r="AI37" s="314"/>
      <c r="AJ37" s="314"/>
      <c r="AK37" s="314"/>
      <c r="AL37" s="314"/>
      <c r="AM37" s="314"/>
      <c r="AN37" s="314"/>
      <c r="AO37" s="314"/>
      <c r="AP37" s="314"/>
      <c r="AQ37" s="314"/>
      <c r="AR37" s="314"/>
      <c r="AS37" s="259" t="s">
        <v>413</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284</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285</v>
      </c>
    </row>
    <row customHeight="1" ht="14.25">
      <c r="Q40" s="272"/>
      <c r="R40" s="368"/>
      <c r="S40" s="2106" t="s">
        <v>84</v>
      </c>
      <c r="T40" s="2043" t="s">
        <v>458</v>
      </c>
      <c r="U40" s="281"/>
      <c r="V40" s="2108"/>
      <c r="W40" s="2108"/>
      <c r="X40" s="2108"/>
      <c r="Y40" s="2108"/>
      <c r="Z40" s="2109"/>
      <c r="AA40" s="2170" t="s">
        <v>416</v>
      </c>
      <c r="AB40" s="2154" t="s">
        <v>459</v>
      </c>
      <c r="AC40" s="2127"/>
      <c r="AD40" s="2127"/>
      <c r="AE40" s="2155"/>
      <c r="AF40" s="2127" t="s">
        <v>460</v>
      </c>
      <c r="AG40" s="2127"/>
      <c r="AH40" s="2127"/>
      <c r="AI40" s="2155"/>
      <c r="AJ40" s="2154" t="s">
        <v>461</v>
      </c>
      <c r="AK40" s="2127"/>
      <c r="AL40" s="2127"/>
      <c r="AM40" s="2155"/>
      <c r="AN40" s="2154" t="s">
        <v>415</v>
      </c>
      <c r="AO40" s="2127"/>
      <c r="AP40" s="2108"/>
      <c r="AQ40" s="2108"/>
      <c r="AR40" s="2109"/>
      <c r="AS40" s="2110" t="s">
        <v>416</v>
      </c>
      <c r="AT40" s="2113" t="s">
        <v>418</v>
      </c>
      <c r="AU40" s="1952"/>
    </row>
    <row customHeight="1" ht="33.75">
      <c r="Q41" s="272"/>
      <c r="R41" s="368"/>
      <c r="S41" s="2106"/>
      <c r="T41" s="2043"/>
      <c r="U41" s="1027"/>
      <c r="V41" s="2010" t="s">
        <v>462</v>
      </c>
      <c r="W41" s="2011"/>
      <c r="X41" s="2125" t="s">
        <v>422</v>
      </c>
      <c r="Y41" s="2143"/>
      <c r="Z41" s="2144"/>
      <c r="AA41" s="2171"/>
      <c r="AB41" s="2156"/>
      <c r="AC41" s="2157"/>
      <c r="AD41" s="2157"/>
      <c r="AE41" s="2169"/>
      <c r="AF41" s="2157"/>
      <c r="AG41" s="2157"/>
      <c r="AH41" s="2157"/>
      <c r="AI41" s="2169"/>
      <c r="AJ41" s="2156"/>
      <c r="AK41" s="2157"/>
      <c r="AL41" s="2157"/>
      <c r="AM41" s="2157"/>
      <c r="AN41" s="1952" t="s">
        <v>463</v>
      </c>
      <c r="AO41" s="1952"/>
      <c r="AP41" s="2143" t="s">
        <v>422</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133</v>
      </c>
      <c r="C43" s="1388" t="s">
        <v>134</v>
      </c>
      <c r="D43" s="1388" t="s">
        <v>135</v>
      </c>
      <c r="E43" s="1382" t="s">
        <v>423</v>
      </c>
      <c r="F43" s="1382" t="s">
        <v>424</v>
      </c>
      <c r="G43" s="1382" t="s">
        <v>425</v>
      </c>
      <c r="H43" s="1382" t="s">
        <v>426</v>
      </c>
      <c r="I43" s="1382" t="s">
        <v>427</v>
      </c>
      <c r="J43" s="1382" t="s">
        <v>428</v>
      </c>
      <c r="K43" s="1382" t="s">
        <v>429</v>
      </c>
      <c r="L43" s="1382" t="s">
        <v>404</v>
      </c>
      <c r="Q43" s="272"/>
      <c r="R43" s="368"/>
      <c r="S43" s="2106"/>
      <c r="T43" s="2043"/>
      <c r="U43" s="282"/>
      <c r="V43" s="1348" t="s">
        <v>464</v>
      </c>
      <c r="W43" s="1348" t="s">
        <v>465</v>
      </c>
      <c r="X43" s="1356" t="s">
        <v>432</v>
      </c>
      <c r="Y43" s="2102" t="s">
        <v>433</v>
      </c>
      <c r="Z43" s="2103"/>
      <c r="AA43" s="2172"/>
      <c r="AB43" s="2158"/>
      <c r="AC43" s="2159"/>
      <c r="AD43" s="2159"/>
      <c r="AE43" s="2160"/>
      <c r="AF43" s="2159"/>
      <c r="AG43" s="2159"/>
      <c r="AH43" s="2159"/>
      <c r="AI43" s="2160"/>
      <c r="AJ43" s="2158"/>
      <c r="AK43" s="2159"/>
      <c r="AL43" s="2159"/>
      <c r="AM43" s="2160"/>
      <c r="AN43" s="1886" t="s">
        <v>464</v>
      </c>
      <c r="AO43" s="1886" t="s">
        <v>465</v>
      </c>
      <c r="AP43" s="1356" t="s">
        <v>432</v>
      </c>
      <c r="AQ43" s="2102" t="s">
        <v>433</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106</v>
      </c>
      <c r="T44" s="1269" t="s">
        <v>107</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196</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121</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196</v>
      </c>
      <c r="B46" s="1381" t="s">
        <v>197</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383</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384</v>
      </c>
      <c r="AW46" s="496"/>
      <c r="AX46" s="496" t="str">
        <f>IF(T46="","",T46)</f>
        <v>Территория действия тарифа</v>
      </c>
      <c r="AY46" s="496"/>
      <c r="AZ46" s="496"/>
    </row>
    <row customHeight="1" ht="23.25">
      <c r="A47" s="1381" t="s">
        <v>196</v>
      </c>
      <c r="B47" s="1381" t="s">
        <v>197</v>
      </c>
      <c r="C47" s="1381" t="s">
        <v>198</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385</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386</v>
      </c>
      <c r="AW47" s="496"/>
      <c r="AX47" s="496" t="str">
        <f>IF(T47="","",T47)</f>
        <v>Наименование системы теплоснабжения </v>
      </c>
      <c r="AY47" s="496"/>
      <c r="AZ47" s="496"/>
    </row>
    <row customHeight="1" ht="21">
      <c r="A48" s="1381" t="s">
        <v>196</v>
      </c>
      <c r="B48" s="1381" t="s">
        <v>197</v>
      </c>
      <c r="C48" s="1381" t="s">
        <v>198</v>
      </c>
      <c r="D48" s="1381" t="s">
        <v>199</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387</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388</v>
      </c>
      <c r="AW48" s="496"/>
      <c r="AX48" s="496" t="str">
        <f>IF(T48="","",T48)</f>
        <v>Источник тепловой энергии  </v>
      </c>
      <c r="AY48" s="496"/>
      <c r="AZ48" s="496"/>
    </row>
    <row s="1668" customFormat="1" customHeight="1" ht="0">
      <c r="A49" s="1361" t="s">
        <v>196</v>
      </c>
      <c r="B49" s="1361" t="s">
        <v>197</v>
      </c>
      <c r="C49" s="1361" t="s">
        <v>198</v>
      </c>
      <c r="D49" s="1361" t="s">
        <v>199</v>
      </c>
      <c r="E49" s="2089"/>
      <c r="F49" s="2089"/>
      <c r="G49" s="2089"/>
      <c r="H49" s="2089"/>
      <c r="I49" s="2090" t="str">
        <f>S48&amp;".1"</f>
        <v>....1</v>
      </c>
      <c r="J49" s="1361"/>
      <c r="K49" s="1361"/>
      <c r="L49" s="1364" t="s">
        <v>389</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196</v>
      </c>
      <c r="B50" s="1361" t="s">
        <v>197</v>
      </c>
      <c r="C50" s="1361" t="s">
        <v>198</v>
      </c>
      <c r="D50" s="1361" t="s">
        <v>199</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196</v>
      </c>
      <c r="B51" s="1381" t="s">
        <v>197</v>
      </c>
      <c r="C51" s="1381" t="s">
        <v>198</v>
      </c>
      <c r="D51" s="1381" t="s">
        <v>199</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55</v>
      </c>
      <c r="Z51" s="1759"/>
      <c r="AA51" s="1477" t="s">
        <v>55</v>
      </c>
      <c r="AB51" s="1962" t="s">
        <v>53</v>
      </c>
      <c r="AC51" s="2161"/>
      <c r="AD51" s="2038">
        <v>1</v>
      </c>
      <c r="AE51" s="2153" t="s">
        <v>18</v>
      </c>
      <c r="AF51" s="1962" t="s">
        <v>53</v>
      </c>
      <c r="AG51" s="2161"/>
      <c r="AH51" s="2038">
        <v>1</v>
      </c>
      <c r="AI51" s="2153" t="s">
        <v>18</v>
      </c>
      <c r="AJ51" s="1962" t="s">
        <v>53</v>
      </c>
      <c r="AK51" s="293"/>
      <c r="AL51" s="1355">
        <v>1</v>
      </c>
      <c r="AM51" s="1420"/>
      <c r="AN51" s="746"/>
      <c r="AO51" s="1273"/>
      <c r="AP51" s="1759"/>
      <c r="AQ51" s="1477" t="s">
        <v>55</v>
      </c>
      <c r="AR51" s="1759"/>
      <c r="AS51" s="1477" t="s">
        <v>55</v>
      </c>
      <c r="AT51" s="1366"/>
      <c r="AU51" s="2118" t="s">
        <v>466</v>
      </c>
      <c r="AV51" s="507">
        <f>STRCHECKDATE(V54:AT54)</f>
      </c>
      <c r="AW51" s="496"/>
      <c r="AX51" s="496" t="str">
        <f>IF(T51="","",T51)</f>
        <v/>
      </c>
      <c r="AY51" s="496"/>
      <c r="AZ51" s="496"/>
    </row>
    <row customHeight="1" ht="11.25">
      <c r="A52" s="1381" t="s">
        <v>196</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450</v>
      </c>
      <c r="AN52" s="1411"/>
      <c r="AO52" s="1514"/>
      <c r="AP52" s="1411"/>
      <c r="AQ52" s="1411"/>
      <c r="AR52" s="1411"/>
      <c r="AS52" s="1411"/>
      <c r="AT52" s="1408"/>
      <c r="AU52" s="2119"/>
      <c r="AW52" s="496"/>
      <c r="AX52" s="496"/>
      <c r="AY52" s="496"/>
      <c r="AZ52" s="496"/>
    </row>
    <row customHeight="1" ht="11.25">
      <c r="A53" s="1381" t="s">
        <v>196</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451</v>
      </c>
      <c r="AJ53" s="1411"/>
      <c r="AK53" s="1411"/>
      <c r="AL53" s="1411"/>
      <c r="AM53" s="1411"/>
      <c r="AN53" s="1411"/>
      <c r="AO53" s="1514"/>
      <c r="AP53" s="1411"/>
      <c r="AQ53" s="1411"/>
      <c r="AR53" s="1411"/>
      <c r="AS53" s="1411"/>
      <c r="AT53" s="1408"/>
      <c r="AU53" s="2119"/>
      <c r="AW53" s="496"/>
      <c r="AX53" s="496"/>
      <c r="AY53" s="496"/>
      <c r="AZ53" s="496"/>
    </row>
    <row customHeight="1" ht="11.25">
      <c r="A54" s="1381" t="s">
        <v>196</v>
      </c>
      <c r="B54" s="1381" t="s">
        <v>197</v>
      </c>
      <c r="C54" s="1381" t="s">
        <v>198</v>
      </c>
      <c r="D54" s="1381" t="s">
        <v>199</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452</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196</v>
      </c>
      <c r="B55" s="1381" t="s">
        <v>197</v>
      </c>
      <c r="C55" s="1381" t="s">
        <v>198</v>
      </c>
      <c r="D55" s="1381" t="s">
        <v>199</v>
      </c>
      <c r="E55" s="2089"/>
      <c r="F55" s="2089"/>
      <c r="G55" s="2089"/>
      <c r="H55" s="2089"/>
      <c r="I55" s="2091"/>
      <c r="J55" s="2090"/>
      <c r="K55" s="1381"/>
      <c r="L55" s="1382"/>
      <c r="P55" s="2092"/>
      <c r="Q55" s="2092"/>
      <c r="R55" s="344"/>
      <c r="S55" s="1296"/>
      <c r="T55" s="268" t="s">
        <v>453</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196</v>
      </c>
      <c r="B56" s="1361" t="s">
        <v>197</v>
      </c>
      <c r="C56" s="1361" t="s">
        <v>198</v>
      </c>
      <c r="D56" s="1361" t="s">
        <v>199</v>
      </c>
      <c r="E56" s="2089"/>
      <c r="F56" s="2089"/>
      <c r="G56" s="2089"/>
      <c r="H56" s="2089"/>
      <c r="I56" s="2090"/>
      <c r="J56" s="1361"/>
      <c r="K56" s="1361"/>
      <c r="L56" s="1364"/>
      <c r="M56" s="506"/>
      <c r="N56" s="506"/>
      <c r="O56" s="506"/>
      <c r="P56" s="2092"/>
      <c r="Q56" s="1349"/>
      <c r="R56" s="344"/>
      <c r="S56" s="1404"/>
      <c r="T56" s="1405" t="s">
        <v>398</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196</v>
      </c>
      <c r="B57" s="1361" t="s">
        <v>197</v>
      </c>
      <c r="C57" s="1361" t="s">
        <v>198</v>
      </c>
      <c r="D57" s="1361" t="s">
        <v>199</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196</v>
      </c>
      <c r="B58" s="1361" t="s">
        <v>197</v>
      </c>
      <c r="C58" s="1361" t="s">
        <v>198</v>
      </c>
      <c r="D58" s="1332"/>
      <c r="E58" s="2089"/>
      <c r="F58" s="2089"/>
      <c r="G58" s="2088"/>
      <c r="H58" s="1332"/>
      <c r="I58" s="1332"/>
      <c r="J58" s="1332"/>
      <c r="K58" s="1332"/>
      <c r="L58" s="1357"/>
      <c r="M58" s="1333"/>
      <c r="N58" s="1333"/>
      <c r="P58" s="1334"/>
      <c r="Q58" s="1335"/>
      <c r="R58" s="1334"/>
      <c r="S58" s="1340"/>
      <c r="T58" s="1343" t="s">
        <v>400</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196</v>
      </c>
      <c r="B59" s="1361" t="s">
        <v>197</v>
      </c>
      <c r="C59" s="1332"/>
      <c r="D59" s="1332"/>
      <c r="E59" s="2089"/>
      <c r="F59" s="2088"/>
      <c r="G59" s="1332"/>
      <c r="H59" s="1332"/>
      <c r="I59" s="1332"/>
      <c r="J59" s="1332"/>
      <c r="K59" s="1332"/>
      <c r="L59" s="1357"/>
      <c r="M59" s="1339"/>
      <c r="N59" s="1339"/>
      <c r="P59" s="1334"/>
      <c r="Q59" s="1335"/>
      <c r="R59" s="1334"/>
      <c r="S59" s="1340"/>
      <c r="T59" s="1343" t="s">
        <v>401</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196</v>
      </c>
      <c r="B60" s="1361"/>
      <c r="C60" s="1361"/>
      <c r="D60" s="1361"/>
      <c r="E60" s="2089"/>
      <c r="F60" s="1361"/>
      <c r="G60" s="1361"/>
      <c r="H60" s="1361"/>
      <c r="I60" s="1361"/>
      <c r="J60" s="1361"/>
      <c r="K60" s="1361"/>
      <c r="L60" s="1364"/>
      <c r="M60" s="1339"/>
      <c r="N60" s="1339"/>
      <c r="O60" s="514"/>
      <c r="P60" s="376"/>
      <c r="Q60" s="1362"/>
      <c r="R60" s="376"/>
      <c r="S60" s="1340"/>
      <c r="T60" s="1343" t="s">
        <v>402</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196</v>
      </c>
      <c r="B61" s="1361"/>
      <c r="C61" s="1361"/>
      <c r="D61" s="1361"/>
      <c r="E61" s="2088"/>
      <c r="F61" s="1361"/>
      <c r="G61" s="1361"/>
      <c r="H61" s="1361"/>
      <c r="I61" s="1361"/>
      <c r="J61" s="1361"/>
      <c r="K61" s="1361"/>
      <c r="L61" s="1364"/>
      <c r="M61" s="1339"/>
      <c r="N61" s="1339"/>
      <c r="O61" s="514"/>
      <c r="P61" s="376"/>
      <c r="Q61" s="1362"/>
      <c r="R61" s="376"/>
      <c r="S61" s="1340"/>
      <c r="T61" s="1343" t="s">
        <v>402</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434</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2DB59-611F-FFB3-BF9F-0B6F249DE16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43">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370" t="s">
        <v>475</v>
      </c>
      <c r="W38" s="2099" t="s">
        <v>421</v>
      </c>
      <c r="X38" s="2101"/>
      <c r="Y38" s="2099" t="s">
        <v>422</v>
      </c>
      <c r="Z38" s="2100"/>
      <c r="AA38" s="2101"/>
      <c r="AB38" s="2111"/>
      <c r="AC38" s="13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370" t="s">
        <v>478</v>
      </c>
      <c r="W39" s="1225" t="s">
        <v>479</v>
      </c>
      <c r="X39" s="1225" t="s">
        <v>480</v>
      </c>
      <c r="Y39" s="1375" t="s">
        <v>432</v>
      </c>
      <c r="Z39" s="2102" t="s">
        <v>433</v>
      </c>
      <c r="AA39" s="2103"/>
      <c r="AB39" s="2112"/>
      <c r="AC39" s="1370" t="s">
        <v>478</v>
      </c>
      <c r="AD39" s="1225" t="s">
        <v>479</v>
      </c>
      <c r="AE39" s="1225" t="s">
        <v>480</v>
      </c>
      <c r="AF39" s="1375"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210</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210</v>
      </c>
      <c r="B42" s="1381" t="s">
        <v>211</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210</v>
      </c>
      <c r="B43" s="1381" t="s">
        <v>211</v>
      </c>
      <c r="C43" s="1381" t="s">
        <v>212</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210</v>
      </c>
      <c r="B44" s="1381" t="s">
        <v>211</v>
      </c>
      <c r="C44" s="1381" t="s">
        <v>212</v>
      </c>
      <c r="D44" s="1381" t="s">
        <v>481</v>
      </c>
      <c r="E44" s="2089"/>
      <c r="F44" s="2089"/>
      <c r="G44" s="2089"/>
      <c r="H44" s="2089"/>
      <c r="I44" s="2090" t="str">
        <f>S43&amp;".1"</f>
        <v>...1</v>
      </c>
      <c r="J44" s="1381"/>
      <c r="K44" s="1381"/>
      <c r="L44" s="1382"/>
      <c r="P44" s="2092">
        <v>1</v>
      </c>
      <c r="Q44" s="1372"/>
      <c r="R44" s="344"/>
      <c r="S44" s="1376"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210</v>
      </c>
      <c r="B45" s="1381" t="s">
        <v>211</v>
      </c>
      <c r="C45" s="1381" t="s">
        <v>212</v>
      </c>
      <c r="D45" s="1381" t="s">
        <v>481</v>
      </c>
      <c r="E45" s="2089"/>
      <c r="F45" s="2089"/>
      <c r="G45" s="2089"/>
      <c r="H45" s="2089"/>
      <c r="I45" s="2091"/>
      <c r="J45" s="2090" t="str">
        <f>I44&amp;".1"</f>
        <v>...1.1</v>
      </c>
      <c r="K45" s="1381"/>
      <c r="L45" s="1382" t="s">
        <v>392</v>
      </c>
      <c r="P45" s="2092"/>
      <c r="Q45" s="2092">
        <v>1</v>
      </c>
      <c r="R45" s="345"/>
      <c r="S45" s="1376"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210</v>
      </c>
      <c r="B46" s="1381" t="s">
        <v>211</v>
      </c>
      <c r="C46" s="1381" t="s">
        <v>212</v>
      </c>
      <c r="D46" s="1381" t="s">
        <v>481</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210</v>
      </c>
      <c r="B47" s="1381" t="s">
        <v>211</v>
      </c>
      <c r="C47" s="1381" t="s">
        <v>212</v>
      </c>
      <c r="D47" s="1381" t="s">
        <v>481</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210</v>
      </c>
      <c r="B48" s="1381" t="s">
        <v>211</v>
      </c>
      <c r="C48" s="1381" t="s">
        <v>212</v>
      </c>
      <c r="D48" s="1381" t="s">
        <v>481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210</v>
      </c>
      <c r="B49" s="1381" t="s">
        <v>211</v>
      </c>
      <c r="C49" s="1381" t="s">
        <v>212</v>
      </c>
      <c r="D49" s="1381" t="s">
        <v>481</v>
      </c>
      <c r="E49" s="2089"/>
      <c r="F49" s="2089"/>
      <c r="G49" s="2089"/>
      <c r="H49" s="2089"/>
      <c r="I49" s="2090"/>
      <c r="J49" s="1381"/>
      <c r="K49" s="1381"/>
      <c r="L49" s="1382"/>
      <c r="P49" s="2092"/>
      <c r="Q49" s="1372"/>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210</v>
      </c>
      <c r="B50" s="1381" t="s">
        <v>211</v>
      </c>
      <c r="C50" s="1381" t="s">
        <v>212</v>
      </c>
      <c r="D50" s="1381" t="s">
        <v>481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210</v>
      </c>
      <c r="B51" s="1361" t="s">
        <v>211</v>
      </c>
      <c r="C51" s="1332"/>
      <c r="D51" s="1332"/>
      <c r="E51" s="2089"/>
      <c r="F51" s="2088"/>
      <c r="G51" s="1332"/>
      <c r="H51" s="1332"/>
      <c r="I51" s="1332"/>
      <c r="J51" s="1332"/>
      <c r="K51" s="1332"/>
      <c r="L51" s="1444"/>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DE8041-4FDE-1702-5321-57346FF1F717}" mc:Ignorable="x14ac xr xr2 xr3">
  <sheetPr>
    <tabColor rgb="FFCCCCFF"/>
  </sheetPr>
  <dimension ref="A1:P78"/>
  <sheetViews>
    <sheetView topLeftCell="C6" showGridLines="0" zoomScale="90" workbookViewId="0">
      <selection activeCell="F15" sqref="F15"/>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PP108.OPEN.INFO.QUARTER.HOTVSNA.EIAS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2024</v>
      </c>
      <c r="G14" s="58"/>
      <c r="H14" s="0"/>
      <c r="I14" s="408"/>
      <c r="J14" s="871" t="s">
        <v>28</v>
      </c>
    </row>
    <row s="1661" customFormat="1" customHeight="1" ht="19.5">
      <c r="A15" s="783" t="s">
        <v>29</v>
      </c>
      <c r="B15" s="78"/>
      <c r="C15" s="405"/>
      <c r="D15" s="407"/>
      <c r="E15" s="1161" t="s">
        <v>30</v>
      </c>
      <c r="F15" s="1793" t="s">
        <v>31</v>
      </c>
      <c r="G15" s="58"/>
      <c r="H15" s="0"/>
      <c r="I15" s="408"/>
      <c r="J15" s="871" t="s">
        <v>32</v>
      </c>
    </row>
    <row s="1638" customFormat="1" customHeight="1" ht="6">
      <c r="A16" s="780"/>
      <c r="B16" s="211"/>
      <c r="C16" s="212"/>
      <c r="D16" s="218"/>
      <c r="E16" s="216"/>
      <c r="F16" s="219"/>
      <c r="G16" s="58"/>
      <c r="H16" s="406"/>
      <c r="I16" s="408"/>
      <c r="J16" s="869"/>
    </row>
    <row customHeight="1" ht="19.5">
      <c r="D17" s="56"/>
      <c r="E17" s="388" t="s">
        <v>33</v>
      </c>
      <c r="F17" s="195" t="s">
        <v>34</v>
      </c>
      <c r="G17" s="54"/>
      <c r="H17" s="768" t="s">
        <v>19</v>
      </c>
    </row>
    <row customHeight="1" ht="25.5" hidden="1">
      <c r="D18" s="56"/>
      <c r="E18" s="1801" t="s">
        <v>35</v>
      </c>
      <c r="F18" s="1758"/>
      <c r="G18" s="54"/>
      <c r="I18" s="769"/>
      <c r="J18" s="1932" t="s">
        <v>36</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38" customFormat="1" customHeight="1" ht="6">
      <c r="A30" s="780"/>
      <c r="B30" s="211"/>
      <c r="C30" s="212"/>
      <c r="D30" s="218"/>
      <c r="E30" s="216"/>
      <c r="F30" s="219"/>
      <c r="G30" s="58"/>
      <c r="H30" s="406"/>
      <c r="I30" s="408"/>
      <c r="J30" s="869"/>
    </row>
    <row customHeight="1" ht="19.5">
      <c r="C31" s="59"/>
      <c r="D31" s="60"/>
      <c r="E31" s="388" t="s">
        <v>42</v>
      </c>
      <c r="F31" s="196" t="s">
        <v>43</v>
      </c>
      <c r="G31" s="771"/>
    </row>
    <row customHeight="1" ht="19.5" hidden="1">
      <c r="C32" s="59"/>
      <c r="D32" s="60"/>
      <c r="E32" s="389" t="s">
        <v>44</v>
      </c>
      <c r="F32" s="1792"/>
      <c r="G32" s="771"/>
    </row>
    <row customHeight="1" ht="19.5">
      <c r="C33" s="59"/>
      <c r="D33" s="60"/>
      <c r="E33" s="388" t="s">
        <v>45</v>
      </c>
      <c r="F33" s="196" t="s">
        <v>46</v>
      </c>
      <c r="G33" s="771"/>
    </row>
    <row customHeight="1" ht="19.5">
      <c r="C34" s="59"/>
      <c r="D34" s="60"/>
      <c r="E34" s="388" t="s">
        <v>47</v>
      </c>
      <c r="F34" s="196" t="s">
        <v>48</v>
      </c>
      <c r="G34" s="771"/>
      <c r="H34" s="61"/>
    </row>
    <row s="1638" customFormat="1" customHeight="1" ht="11.25">
      <c r="A35" s="780"/>
      <c r="B35" s="211"/>
      <c r="C35" s="212"/>
      <c r="D35" s="218"/>
      <c r="E35" s="216"/>
      <c r="F35" s="219"/>
      <c r="G35" s="58"/>
      <c r="H35" s="406"/>
      <c r="I35" s="408"/>
      <c r="J35" s="869"/>
    </row>
    <row customHeight="1" ht="19.5" hidden="1">
      <c r="A36" s="874"/>
      <c r="D36" s="60"/>
      <c r="E36" s="388" t="s">
        <v>49</v>
      </c>
      <c r="F36" s="336"/>
      <c r="G36" s="58"/>
    </row>
    <row customHeight="1" ht="19.5">
      <c r="A37" s="874"/>
      <c r="D37" s="60"/>
      <c r="E37" s="388" t="s">
        <v>50</v>
      </c>
      <c r="F37" s="1208" t="s">
        <v>51</v>
      </c>
      <c r="G37" s="58"/>
    </row>
    <row s="1638" customFormat="1" customHeight="1" ht="6">
      <c r="A38" s="780"/>
      <c r="B38" s="211"/>
      <c r="C38" s="212"/>
      <c r="D38" s="213"/>
      <c r="E38" s="214"/>
      <c r="F38" s="1049"/>
      <c r="G38" s="54"/>
      <c r="H38" s="406"/>
      <c r="I38" s="408"/>
      <c r="J38" s="871"/>
    </row>
    <row customHeight="1" ht="22.5">
      <c r="A39" s="780"/>
      <c r="D39" s="56"/>
      <c r="E39" s="388" t="s">
        <v>52</v>
      </c>
      <c r="F39" s="705" t="s">
        <v>53</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05" t="s">
        <v>53</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54</v>
      </c>
      <c r="F43" s="705" t="s">
        <v>55</v>
      </c>
      <c r="G43" s="54"/>
      <c r="I43" s="408"/>
      <c r="J43" s="871"/>
    </row>
    <row s="1661" customFormat="1" customHeight="1" ht="22.5" hidden="1">
      <c r="A44" s="779"/>
      <c r="B44" s="410"/>
      <c r="C44" s="405"/>
      <c r="D44" s="407"/>
      <c r="E44" s="1161" t="s">
        <v>56</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57</v>
      </c>
      <c r="F46" s="705" t="s">
        <v>53</v>
      </c>
      <c r="G46" s="54"/>
      <c r="H46" s="406"/>
      <c r="I46" s="408"/>
      <c r="J46" s="871"/>
    </row>
    <row s="1661" customFormat="1" customHeight="1" ht="22.5" hidden="1">
      <c r="A47" s="779"/>
      <c r="B47" s="410"/>
      <c r="C47" s="405"/>
      <c r="D47" s="407"/>
      <c r="E47" s="1161" t="s">
        <v>58</v>
      </c>
      <c r="F47" s="705" t="s">
        <v>53</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59</v>
      </c>
      <c r="F51" s="705" t="s">
        <v>53</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60</v>
      </c>
      <c r="F53" s="1044" t="s">
        <v>53</v>
      </c>
      <c r="G53" s="528"/>
      <c r="I53" s="530"/>
      <c r="J53" s="873"/>
      <c r="P53" s="531"/>
    </row>
    <row s="1661" customFormat="1" customHeight="1" ht="22.5" hidden="1">
      <c r="A54" s="781"/>
      <c r="B54" s="410"/>
      <c r="C54" s="526"/>
      <c r="D54" s="527"/>
      <c r="E54" s="388" t="s">
        <v>61</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62</v>
      </c>
      <c r="F56" s="1044" t="s">
        <v>53</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63</v>
      </c>
      <c r="F58" s="1044" t="s">
        <v>55</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7"/>
      <c r="G59" s="528"/>
      <c r="I59" s="530"/>
      <c r="J59" s="873"/>
      <c r="P59" s="531"/>
    </row>
    <row s="1661" customFormat="1" customHeight="1" ht="15" hidden="1">
      <c r="A60" s="781"/>
      <c r="B60" s="410"/>
      <c r="C60" s="526"/>
      <c r="D60" s="527"/>
      <c r="E60" s="1161" t="s">
        <v>64</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65</v>
      </c>
      <c r="F62" s="1697" t="s">
        <v>55</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66</v>
      </c>
      <c r="F64" s="195" t="s">
        <v>67</v>
      </c>
      <c r="G64" s="58"/>
    </row>
    <row customHeight="1" ht="19.5">
      <c r="A65" s="782"/>
      <c r="B65" s="79"/>
      <c r="D65" s="63"/>
      <c r="E65" s="388" t="s">
        <v>68</v>
      </c>
      <c r="F65" s="195" t="s">
        <v>69</v>
      </c>
      <c r="G65" s="58"/>
    </row>
    <row customHeight="1" ht="35.25">
      <c r="D66" s="56"/>
      <c r="E66" s="390" t="s">
        <v>70</v>
      </c>
      <c r="F66" s="1050"/>
      <c r="G66" s="54"/>
    </row>
    <row customHeight="1" ht="19.5">
      <c r="A67" s="782"/>
      <c r="D67" s="407"/>
      <c r="E67" s="388" t="s">
        <v>71</v>
      </c>
      <c r="F67" s="250" t="s">
        <v>72</v>
      </c>
      <c r="G67" s="58"/>
    </row>
    <row customHeight="1" ht="19.5">
      <c r="A68" s="782"/>
      <c r="B68" s="79"/>
      <c r="D68" s="63"/>
      <c r="E68" s="388" t="s">
        <v>73</v>
      </c>
      <c r="F68" s="250" t="s">
        <v>74</v>
      </c>
      <c r="G68" s="58"/>
    </row>
    <row customHeight="1" ht="19.5">
      <c r="A69" s="782"/>
      <c r="B69" s="79"/>
      <c r="D69" s="63"/>
      <c r="E69" s="388" t="s">
        <v>75</v>
      </c>
      <c r="F69" s="250" t="s">
        <v>76</v>
      </c>
      <c r="G69" s="58"/>
    </row>
    <row customHeight="1" ht="19.5">
      <c r="D70" s="407"/>
      <c r="E70" s="388" t="s">
        <v>77</v>
      </c>
      <c r="F70" s="2438" t="s">
        <v>78</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8143F7F-5FC7-857B-5BC8-CD9C975633B6}"/>
    <hyperlink ref="H17" location="Титульный!H9" display="Как заполнить?" tooltip="Помощь по работе с полями отчётной формы" xr:uid="{B111C0C1-FA61-8DE8-B714-29608C0AAE5B}"/>
    <hyperlink ref="H39" location="Титульный!H9" display="Как заполнить?" tooltip="Помощь по работе с полями отчётной формы" xr:uid="{E278B2AB-75A4-44C9-F957-6F4C716788A1}"/>
    <hyperlink ref="H62" location="Титульный!H9" display="Как заполнить?" tooltip="Помощь по работе с полями отчётной формы" xr:uid="{9CBF8E0A-65D9-D671-4426-A841675BCD04}"/>
    <hyperlink ref="F70" r:id="rId4" xr:uid="{A94DD2FC-F65A-19C3-3AB3-BEA16D4F36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7A99D-2955-0B8E-C7D8-5B20EEE74CC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215</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215</v>
      </c>
      <c r="B42" s="1381" t="s">
        <v>216</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215</v>
      </c>
      <c r="B43" s="1381" t="s">
        <v>216</v>
      </c>
      <c r="C43" s="1381" t="s">
        <v>217</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215</v>
      </c>
      <c r="B44" s="1381" t="s">
        <v>216</v>
      </c>
      <c r="C44" s="1381" t="s">
        <v>217</v>
      </c>
      <c r="D44" s="1381" t="s">
        <v>482</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215</v>
      </c>
      <c r="B45" s="1381" t="s">
        <v>216</v>
      </c>
      <c r="C45" s="1381" t="s">
        <v>217</v>
      </c>
      <c r="D45" s="1381" t="s">
        <v>482</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215</v>
      </c>
      <c r="B46" s="1381" t="s">
        <v>216</v>
      </c>
      <c r="C46" s="1381" t="s">
        <v>217</v>
      </c>
      <c r="D46" s="1381" t="s">
        <v>482</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215</v>
      </c>
      <c r="B47" s="1381" t="s">
        <v>216</v>
      </c>
      <c r="C47" s="1381" t="s">
        <v>217</v>
      </c>
      <c r="D47" s="1381" t="s">
        <v>482</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215</v>
      </c>
      <c r="B48" s="1381" t="s">
        <v>216</v>
      </c>
      <c r="C48" s="1381" t="s">
        <v>217</v>
      </c>
      <c r="D48" s="1381" t="s">
        <v>482</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215</v>
      </c>
      <c r="B49" s="1381" t="s">
        <v>216</v>
      </c>
      <c r="C49" s="1381" t="s">
        <v>217</v>
      </c>
      <c r="D49" s="1381" t="s">
        <v>482</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215</v>
      </c>
      <c r="B50" s="1381" t="s">
        <v>216</v>
      </c>
      <c r="C50" s="1381" t="s">
        <v>217</v>
      </c>
      <c r="D50" s="1381" t="s">
        <v>482</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215</v>
      </c>
      <c r="B51" s="1361" t="s">
        <v>216</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2F37C-D2EC-A8B8-7B6C-F9E1E682F58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220</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220</v>
      </c>
      <c r="B42" s="1381" t="s">
        <v>221</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220</v>
      </c>
      <c r="B43" s="1381" t="s">
        <v>221</v>
      </c>
      <c r="C43" s="1381" t="s">
        <v>222</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220</v>
      </c>
      <c r="B44" s="1381" t="s">
        <v>221</v>
      </c>
      <c r="C44" s="1381" t="s">
        <v>222</v>
      </c>
      <c r="D44" s="1381" t="s">
        <v>483</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220</v>
      </c>
      <c r="B45" s="1381" t="s">
        <v>221</v>
      </c>
      <c r="C45" s="1381" t="s">
        <v>222</v>
      </c>
      <c r="D45" s="1381" t="s">
        <v>483</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220</v>
      </c>
      <c r="B46" s="1381" t="s">
        <v>221</v>
      </c>
      <c r="C46" s="1381" t="s">
        <v>222</v>
      </c>
      <c r="D46" s="1381" t="s">
        <v>483</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220</v>
      </c>
      <c r="B47" s="1381" t="s">
        <v>221</v>
      </c>
      <c r="C47" s="1381" t="s">
        <v>222</v>
      </c>
      <c r="D47" s="1381" t="s">
        <v>483</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220</v>
      </c>
      <c r="B48" s="1381" t="s">
        <v>221</v>
      </c>
      <c r="C48" s="1381" t="s">
        <v>222</v>
      </c>
      <c r="D48" s="1381" t="s">
        <v>483</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220</v>
      </c>
      <c r="B49" s="1381" t="s">
        <v>221</v>
      </c>
      <c r="C49" s="1381" t="s">
        <v>222</v>
      </c>
      <c r="D49" s="1381" t="s">
        <v>483</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220</v>
      </c>
      <c r="B50" s="1381" t="s">
        <v>221</v>
      </c>
      <c r="C50" s="1381" t="s">
        <v>222</v>
      </c>
      <c r="D50" s="1381" t="s">
        <v>483</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220</v>
      </c>
      <c r="B51" s="1361" t="s">
        <v>221</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CF954-6506-42E5-F7CA-AC37C16AB10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225</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225</v>
      </c>
      <c r="B42" s="1381" t="s">
        <v>226</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225</v>
      </c>
      <c r="B43" s="1381" t="s">
        <v>226</v>
      </c>
      <c r="C43" s="1381" t="s">
        <v>227</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225</v>
      </c>
      <c r="B44" s="1381" t="s">
        <v>226</v>
      </c>
      <c r="C44" s="1381" t="s">
        <v>227</v>
      </c>
      <c r="D44" s="1381" t="s">
        <v>484</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225</v>
      </c>
      <c r="B45" s="1381" t="s">
        <v>226</v>
      </c>
      <c r="C45" s="1381" t="s">
        <v>227</v>
      </c>
      <c r="D45" s="1381" t="s">
        <v>484</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225</v>
      </c>
      <c r="B46" s="1381" t="s">
        <v>226</v>
      </c>
      <c r="C46" s="1381" t="s">
        <v>227</v>
      </c>
      <c r="D46" s="1381" t="s">
        <v>484</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225</v>
      </c>
      <c r="B47" s="1381" t="s">
        <v>226</v>
      </c>
      <c r="C47" s="1381" t="s">
        <v>227</v>
      </c>
      <c r="D47" s="1381" t="s">
        <v>484</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225</v>
      </c>
      <c r="B48" s="1381" t="s">
        <v>226</v>
      </c>
      <c r="C48" s="1381" t="s">
        <v>227</v>
      </c>
      <c r="D48" s="1381" t="s">
        <v>484</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225</v>
      </c>
      <c r="B49" s="1381" t="s">
        <v>226</v>
      </c>
      <c r="C49" s="1381" t="s">
        <v>227</v>
      </c>
      <c r="D49" s="1381" t="s">
        <v>484</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225</v>
      </c>
      <c r="B50" s="1381" t="s">
        <v>226</v>
      </c>
      <c r="C50" s="1381" t="s">
        <v>227</v>
      </c>
      <c r="D50" s="1381" t="s">
        <v>484</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225</v>
      </c>
      <c r="B51" s="1361" t="s">
        <v>226</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FB91A-796B-8476-6A5E-5EEE0A424D9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467</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468</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55</v>
      </c>
      <c r="AB8" s="1759"/>
      <c r="AC8" s="1477" t="s">
        <v>55</v>
      </c>
      <c r="AD8" s="2025" t="s">
        <v>55</v>
      </c>
      <c r="AE8" s="2161"/>
      <c r="AF8" s="2038">
        <v>1</v>
      </c>
      <c r="AG8" s="2183"/>
      <c r="AH8" s="1962" t="s">
        <v>55</v>
      </c>
      <c r="AI8" s="2161"/>
      <c r="AJ8" s="2038">
        <v>1</v>
      </c>
      <c r="AK8" s="2182" t="s">
        <v>18</v>
      </c>
      <c r="AL8" s="1962" t="s">
        <v>55</v>
      </c>
      <c r="AM8" s="2010"/>
      <c r="AN8" s="2038">
        <v>1</v>
      </c>
      <c r="AO8" s="2187"/>
      <c r="AP8" s="2188" t="s">
        <v>55</v>
      </c>
      <c r="AQ8" s="293"/>
      <c r="AR8" s="1481">
        <v>1</v>
      </c>
      <c r="AS8" s="1484" t="s">
        <v>18</v>
      </c>
      <c r="AT8" s="746"/>
      <c r="AU8" s="1273"/>
      <c r="AV8" s="746"/>
      <c r="AW8" s="1273"/>
      <c r="AX8" s="1759"/>
      <c r="AY8" s="1477" t="s">
        <v>55</v>
      </c>
      <c r="AZ8" s="1759"/>
      <c r="BA8" s="147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487</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488</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478" t="s">
        <v>55</v>
      </c>
      <c r="AZ20" s="1761"/>
      <c r="BA20" s="1478"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ИМУП «ПОСЖИЛКОМСЕРВИС»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492</v>
      </c>
      <c r="AE41" s="2127"/>
      <c r="AF41" s="2127"/>
      <c r="AG41" s="2155"/>
      <c r="AH41" s="2154" t="s">
        <v>493</v>
      </c>
      <c r="AI41" s="2127"/>
      <c r="AJ41" s="2127"/>
      <c r="AK41" s="2155"/>
      <c r="AL41" s="2154" t="s">
        <v>494</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496</v>
      </c>
      <c r="AU42" s="2011"/>
      <c r="AV42" s="2010" t="s">
        <v>497</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66" t="s">
        <v>464</v>
      </c>
      <c r="W44" s="1466" t="s">
        <v>465</v>
      </c>
      <c r="X44" s="1466" t="s">
        <v>464</v>
      </c>
      <c r="Y44" s="1466" t="s">
        <v>465</v>
      </c>
      <c r="Z44" s="1473"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66" t="s">
        <v>464</v>
      </c>
      <c r="AU44" s="1466" t="s">
        <v>465</v>
      </c>
      <c r="AV44" s="1466" t="s">
        <v>464</v>
      </c>
      <c r="AW44" s="1466" t="s">
        <v>465</v>
      </c>
      <c r="AX44" s="1473" t="s">
        <v>432</v>
      </c>
      <c r="AY44" s="2102" t="s">
        <v>433</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230</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230</v>
      </c>
      <c r="B47" s="1381" t="s">
        <v>231</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42">
      <c r="A48" s="1381" t="s">
        <v>230</v>
      </c>
      <c r="B48" s="1381" t="s">
        <v>231</v>
      </c>
      <c r="C48" s="1381" t="s">
        <v>232</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467</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468</v>
      </c>
      <c r="BE48" s="496"/>
      <c r="BF48" s="496" t="str">
        <f>IF(T48="","",T48)</f>
        <v>Наименование централизованной системы холодного водоснабжения</v>
      </c>
      <c r="BG48" s="496"/>
      <c r="BH48" s="496"/>
    </row>
    <row s="1668" customFormat="1" customHeight="1" ht="0">
      <c r="A49" s="1361" t="s">
        <v>230</v>
      </c>
      <c r="B49" s="1361" t="s">
        <v>231</v>
      </c>
      <c r="C49" s="1361" t="s">
        <v>232</v>
      </c>
      <c r="D49" s="1361" t="s">
        <v>499</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230</v>
      </c>
      <c r="B50" s="1361" t="s">
        <v>231</v>
      </c>
      <c r="C50" s="1361" t="s">
        <v>232</v>
      </c>
      <c r="D50" s="1361" t="s">
        <v>499</v>
      </c>
      <c r="E50" s="2089"/>
      <c r="F50" s="2089"/>
      <c r="G50" s="2089"/>
      <c r="H50" s="2089"/>
      <c r="I50" s="2090" t="str">
        <f>S49&amp;".1"</f>
        <v>.1</v>
      </c>
      <c r="J50" s="1361"/>
      <c r="K50" s="1361"/>
      <c r="L50" s="1364" t="s">
        <v>389</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230</v>
      </c>
      <c r="B51" s="1361" t="s">
        <v>231</v>
      </c>
      <c r="C51" s="1361" t="s">
        <v>232</v>
      </c>
      <c r="D51" s="1361" t="s">
        <v>499</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230</v>
      </c>
      <c r="B52" s="1381" t="s">
        <v>231</v>
      </c>
      <c r="C52" s="1381" t="s">
        <v>232</v>
      </c>
      <c r="D52" s="1381" t="s">
        <v>499</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55</v>
      </c>
      <c r="AB52" s="1759"/>
      <c r="AC52" s="147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481">
        <v>1</v>
      </c>
      <c r="AS52" s="1484" t="s">
        <v>18</v>
      </c>
      <c r="AT52" s="746"/>
      <c r="AU52" s="1273"/>
      <c r="AV52" s="746"/>
      <c r="AW52" s="1273"/>
      <c r="AX52" s="1759"/>
      <c r="AY52" s="1477" t="s">
        <v>55</v>
      </c>
      <c r="AZ52" s="1759"/>
      <c r="BA52" s="147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230</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487</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230</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488</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230</v>
      </c>
      <c r="B56" s="1381" t="s">
        <v>231</v>
      </c>
      <c r="C56" s="1381" t="s">
        <v>232</v>
      </c>
      <c r="D56" s="1381" t="s">
        <v>499</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230</v>
      </c>
      <c r="B57" s="1381" t="s">
        <v>231</v>
      </c>
      <c r="C57" s="1381" t="s">
        <v>232</v>
      </c>
      <c r="D57" s="1381" t="s">
        <v>499</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230</v>
      </c>
      <c r="B58" s="1361" t="s">
        <v>231</v>
      </c>
      <c r="C58" s="1361" t="s">
        <v>232</v>
      </c>
      <c r="D58" s="1361" t="s">
        <v>499</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230</v>
      </c>
      <c r="B59" s="1361" t="s">
        <v>231</v>
      </c>
      <c r="C59" s="1361" t="s">
        <v>232</v>
      </c>
      <c r="D59" s="1361" t="s">
        <v>499</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230</v>
      </c>
      <c r="B60" s="1361" t="s">
        <v>231</v>
      </c>
      <c r="C60" s="1361" t="s">
        <v>232</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230</v>
      </c>
      <c r="B61" s="1361" t="s">
        <v>231</v>
      </c>
      <c r="C61" s="1332"/>
      <c r="D61" s="1332"/>
      <c r="E61" s="2089"/>
      <c r="F61" s="2088"/>
      <c r="G61" s="1332"/>
      <c r="H61" s="1332"/>
      <c r="I61" s="1332"/>
      <c r="J61" s="1332"/>
      <c r="K61" s="1332"/>
      <c r="L61" s="148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230</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7F464-18CF-F12C-5ACD-D0828D0443B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500</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501</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475</v>
      </c>
      <c r="W38" s="2099" t="s">
        <v>421</v>
      </c>
      <c r="X38" s="2101"/>
      <c r="Y38" s="2099" t="s">
        <v>422</v>
      </c>
      <c r="Z38" s="2100"/>
      <c r="AA38" s="2101"/>
      <c r="AB38" s="2111"/>
      <c r="AC38" s="1501" t="s">
        <v>475</v>
      </c>
      <c r="AD38" s="2099" t="s">
        <v>421</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502</v>
      </c>
      <c r="W39" s="1225" t="s">
        <v>503</v>
      </c>
      <c r="X39" s="1225" t="s">
        <v>480</v>
      </c>
      <c r="Y39" s="1507" t="s">
        <v>432</v>
      </c>
      <c r="Z39" s="2102" t="s">
        <v>433</v>
      </c>
      <c r="AA39" s="2103"/>
      <c r="AB39" s="2112"/>
      <c r="AC39" s="1501" t="s">
        <v>502</v>
      </c>
      <c r="AD39" s="1225" t="s">
        <v>503</v>
      </c>
      <c r="AE39" s="1225" t="s">
        <v>480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250</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250</v>
      </c>
      <c r="B42" s="1381" t="s">
        <v>251</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250</v>
      </c>
      <c r="B43" s="1381" t="s">
        <v>251</v>
      </c>
      <c r="C43" s="1381" t="s">
        <v>252</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500</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501</v>
      </c>
      <c r="AM43" s="496"/>
      <c r="AN43" s="496" t="str">
        <f>IF(T43="","",T43)</f>
        <v>Наименование централизованной системы водоотведения</v>
      </c>
      <c r="AO43" s="496"/>
      <c r="AP43" s="496"/>
    </row>
    <row customHeight="1" ht="23.25">
      <c r="A44" s="1381" t="s">
        <v>250</v>
      </c>
      <c r="B44" s="1381" t="s">
        <v>251</v>
      </c>
      <c r="C44" s="1381" t="s">
        <v>252</v>
      </c>
      <c r="D44" s="1381" t="s">
        <v>504</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250</v>
      </c>
      <c r="B45" s="1381" t="s">
        <v>251</v>
      </c>
      <c r="C45" s="1381" t="s">
        <v>252</v>
      </c>
      <c r="D45" s="1381" t="s">
        <v>504</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250</v>
      </c>
      <c r="B46" s="1381" t="s">
        <v>251</v>
      </c>
      <c r="C46" s="1381" t="s">
        <v>252</v>
      </c>
      <c r="D46" s="1381" t="s">
        <v>504</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250</v>
      </c>
      <c r="B47" s="1381" t="s">
        <v>251</v>
      </c>
      <c r="C47" s="1381" t="s">
        <v>252</v>
      </c>
      <c r="D47" s="1381" t="s">
        <v>504</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250</v>
      </c>
      <c r="B48" s="1381" t="s">
        <v>251</v>
      </c>
      <c r="C48" s="1381" t="s">
        <v>252</v>
      </c>
      <c r="D48" s="1381" t="s">
        <v>504</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250</v>
      </c>
      <c r="B49" s="1381" t="s">
        <v>251</v>
      </c>
      <c r="C49" s="1381" t="s">
        <v>252</v>
      </c>
      <c r="D49" s="1381" t="s">
        <v>504</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250</v>
      </c>
      <c r="B50" s="1381" t="s">
        <v>251</v>
      </c>
      <c r="C50" s="1381" t="s">
        <v>252</v>
      </c>
      <c r="D50" s="1381" t="s">
        <v>504</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250</v>
      </c>
      <c r="B51" s="1361" t="s">
        <v>251</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8380F-AB74-101F-96F5-621E948A485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500</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501</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475</v>
      </c>
      <c r="W38" s="2099" t="s">
        <v>421</v>
      </c>
      <c r="X38" s="2101"/>
      <c r="Y38" s="2099" t="s">
        <v>422</v>
      </c>
      <c r="Z38" s="2100"/>
      <c r="AA38" s="2101"/>
      <c r="AB38" s="2111"/>
      <c r="AC38" s="1501" t="s">
        <v>475</v>
      </c>
      <c r="AD38" s="2099" t="s">
        <v>421</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502</v>
      </c>
      <c r="W39" s="1225" t="s">
        <v>503</v>
      </c>
      <c r="X39" s="1225" t="s">
        <v>480</v>
      </c>
      <c r="Y39" s="1507" t="s">
        <v>432</v>
      </c>
      <c r="Z39" s="2102" t="s">
        <v>433</v>
      </c>
      <c r="AA39" s="2103"/>
      <c r="AB39" s="2112"/>
      <c r="AC39" s="1501" t="s">
        <v>502</v>
      </c>
      <c r="AD39" s="1225" t="s">
        <v>503</v>
      </c>
      <c r="AE39" s="1225" t="s">
        <v>480</v>
      </c>
      <c r="AF39" s="1507"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255</v>
      </c>
      <c r="B42" s="1381" t="s">
        <v>256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255</v>
      </c>
      <c r="B43" s="1381" t="s">
        <v>256</v>
      </c>
      <c r="C43" s="1381" t="s">
        <v>257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500</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501</v>
      </c>
      <c r="AM43" s="496"/>
      <c r="AN43" s="496" t="str">
        <f>IF(T43="","",T43)</f>
        <v>Наименование централизованной системы водоотведения</v>
      </c>
      <c r="AO43" s="496"/>
      <c r="AP43" s="496"/>
    </row>
    <row customHeight="1" ht="23.25">
      <c r="A44" s="1381" t="s">
        <v>255</v>
      </c>
      <c r="B44" s="1381" t="s">
        <v>256</v>
      </c>
      <c r="C44" s="1381" t="s">
        <v>257</v>
      </c>
      <c r="D44" s="1381" t="s">
        <v>505</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255</v>
      </c>
      <c r="B45" s="1381" t="s">
        <v>256</v>
      </c>
      <c r="C45" s="1381" t="s">
        <v>257</v>
      </c>
      <c r="D45" s="1381" t="s">
        <v>505</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255</v>
      </c>
      <c r="B46" s="1381" t="s">
        <v>256</v>
      </c>
      <c r="C46" s="1381" t="s">
        <v>257</v>
      </c>
      <c r="D46" s="1381" t="s">
        <v>505</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255</v>
      </c>
      <c r="B47" s="1381" t="s">
        <v>256</v>
      </c>
      <c r="C47" s="1381" t="s">
        <v>257</v>
      </c>
      <c r="D47" s="1381" t="s">
        <v>505</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255</v>
      </c>
      <c r="B48" s="1381" t="s">
        <v>256</v>
      </c>
      <c r="C48" s="1381" t="s">
        <v>257</v>
      </c>
      <c r="D48" s="1381" t="s">
        <v>505</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255</v>
      </c>
      <c r="B49" s="1381" t="s">
        <v>256</v>
      </c>
      <c r="C49" s="1381" t="s">
        <v>257</v>
      </c>
      <c r="D49" s="1381" t="s">
        <v>505</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255</v>
      </c>
      <c r="B50" s="1381" t="s">
        <v>256</v>
      </c>
      <c r="C50" s="1381" t="s">
        <v>257</v>
      </c>
      <c r="D50" s="1381" t="s">
        <v>505</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255</v>
      </c>
      <c r="B51" s="1361" t="s">
        <v>256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FB97-7349-EE5D-B40D-ACE76D3B3A7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500</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501</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506</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507</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ИМУП «ПОСЖИЛКОМСЕРВИС»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508</v>
      </c>
      <c r="AE41" s="2127"/>
      <c r="AF41" s="2127"/>
      <c r="AG41" s="2155"/>
      <c r="AH41" s="2154" t="s">
        <v>509</v>
      </c>
      <c r="AI41" s="2127"/>
      <c r="AJ41" s="2127"/>
      <c r="AK41" s="2155"/>
      <c r="AL41" s="2154" t="s">
        <v>510</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511</v>
      </c>
      <c r="AU42" s="2011"/>
      <c r="AV42" s="2010" t="s">
        <v>512</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97" t="s">
        <v>464</v>
      </c>
      <c r="W44" s="1497" t="s">
        <v>465</v>
      </c>
      <c r="X44" s="1497" t="s">
        <v>464</v>
      </c>
      <c r="Y44" s="1497" t="s">
        <v>465</v>
      </c>
      <c r="Z44" s="1507"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97" t="s">
        <v>464</v>
      </c>
      <c r="AU44" s="1497" t="s">
        <v>465</v>
      </c>
      <c r="AV44" s="1497" t="s">
        <v>464</v>
      </c>
      <c r="AW44" s="1497" t="s">
        <v>465</v>
      </c>
      <c r="AX44" s="1507" t="s">
        <v>432</v>
      </c>
      <c r="AY44" s="2102" t="s">
        <v>433</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260</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260</v>
      </c>
      <c r="B47" s="1381" t="s">
        <v>261</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33.75">
      <c r="A48" s="1381" t="s">
        <v>260</v>
      </c>
      <c r="B48" s="1381" t="s">
        <v>261</v>
      </c>
      <c r="C48" s="1381" t="s">
        <v>262</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500</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501</v>
      </c>
      <c r="BE48" s="496"/>
      <c r="BF48" s="496" t="str">
        <f>IF(T48="","",T48)</f>
        <v>Наименование централизованной системы водоотведения</v>
      </c>
      <c r="BG48" s="496"/>
      <c r="BH48" s="496"/>
    </row>
    <row s="1668" customFormat="1" customHeight="1" ht="0">
      <c r="A49" s="1361" t="s">
        <v>260</v>
      </c>
      <c r="B49" s="1361" t="s">
        <v>261</v>
      </c>
      <c r="C49" s="1361" t="s">
        <v>262</v>
      </c>
      <c r="D49" s="1361" t="s">
        <v>513</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260</v>
      </c>
      <c r="B50" s="1361" t="s">
        <v>261</v>
      </c>
      <c r="C50" s="1361" t="s">
        <v>262</v>
      </c>
      <c r="D50" s="1361" t="s">
        <v>513</v>
      </c>
      <c r="E50" s="2089"/>
      <c r="F50" s="2089"/>
      <c r="G50" s="2089"/>
      <c r="H50" s="2089"/>
      <c r="I50" s="2090" t="str">
        <f>S49&amp;".1"</f>
        <v>.1</v>
      </c>
      <c r="J50" s="1361"/>
      <c r="K50" s="1361"/>
      <c r="L50" s="1364" t="s">
        <v>389</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260</v>
      </c>
      <c r="B51" s="1361" t="s">
        <v>261</v>
      </c>
      <c r="C51" s="1361" t="s">
        <v>262</v>
      </c>
      <c r="D51" s="1361" t="s">
        <v>513</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260</v>
      </c>
      <c r="B52" s="1381" t="s">
        <v>261</v>
      </c>
      <c r="C52" s="1381" t="s">
        <v>262</v>
      </c>
      <c r="D52" s="1381" t="s">
        <v>513</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260</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506</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260</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507</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260</v>
      </c>
      <c r="B56" s="1381" t="s">
        <v>261</v>
      </c>
      <c r="C56" s="1381" t="s">
        <v>262</v>
      </c>
      <c r="D56" s="1381" t="s">
        <v>513</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260</v>
      </c>
      <c r="B57" s="1381" t="s">
        <v>261</v>
      </c>
      <c r="C57" s="1381" t="s">
        <v>262</v>
      </c>
      <c r="D57" s="1381" t="s">
        <v>513</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260</v>
      </c>
      <c r="B58" s="1361" t="s">
        <v>261</v>
      </c>
      <c r="C58" s="1361" t="s">
        <v>262</v>
      </c>
      <c r="D58" s="1361" t="s">
        <v>513</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260</v>
      </c>
      <c r="B59" s="1361" t="s">
        <v>261</v>
      </c>
      <c r="C59" s="1361" t="s">
        <v>262</v>
      </c>
      <c r="D59" s="1361" t="s">
        <v>513</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260</v>
      </c>
      <c r="B60" s="1361" t="s">
        <v>261</v>
      </c>
      <c r="C60" s="1361" t="s">
        <v>262</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260</v>
      </c>
      <c r="B61" s="1361" t="s">
        <v>261</v>
      </c>
      <c r="C61" s="1332"/>
      <c r="D61" s="1332"/>
      <c r="E61" s="2089"/>
      <c r="F61" s="2088"/>
      <c r="G61" s="1332"/>
      <c r="H61" s="1332"/>
      <c r="I61" s="1332"/>
      <c r="J61" s="1332"/>
      <c r="K61" s="1332"/>
      <c r="L61" s="151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260</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99371-9947-4AC6-46EB-A53D486A4CA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515</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516</v>
      </c>
      <c r="W38" s="2099" t="s">
        <v>517</v>
      </c>
      <c r="X38" s="2101"/>
      <c r="Y38" s="2099" t="s">
        <v>422</v>
      </c>
      <c r="Z38" s="2100"/>
      <c r="AA38" s="2101"/>
      <c r="AB38" s="2111"/>
      <c r="AC38" s="1501" t="s">
        <v>516</v>
      </c>
      <c r="AD38" s="2099" t="s">
        <v>517</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518</v>
      </c>
      <c r="W39" s="1225" t="s">
        <v>519</v>
      </c>
      <c r="X39" s="1225" t="s">
        <v>520</v>
      </c>
      <c r="Y39" s="1507" t="s">
        <v>432</v>
      </c>
      <c r="Z39" s="2102" t="s">
        <v>433</v>
      </c>
      <c r="AA39" s="2103"/>
      <c r="AB39" s="2112"/>
      <c r="AC39" s="1501" t="s">
        <v>518</v>
      </c>
      <c r="AD39" s="1225" t="s">
        <v>519</v>
      </c>
      <c r="AE39" s="1225" t="s">
        <v>520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235</v>
      </c>
      <c r="B42" s="1381" t="s">
        <v>236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235</v>
      </c>
      <c r="B43" s="1381" t="s">
        <v>236</v>
      </c>
      <c r="C43" s="1381" t="s">
        <v>237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515</v>
      </c>
      <c r="AM43" s="496"/>
      <c r="AN43" s="496" t="str">
        <f>IF(T43="","",T43)</f>
        <v>Наименование централизованной системы горячего водоснабжения</v>
      </c>
      <c r="AO43" s="496"/>
      <c r="AP43" s="496"/>
    </row>
    <row customHeight="1" ht="23.25">
      <c r="A44" s="1381" t="s">
        <v>235</v>
      </c>
      <c r="B44" s="1381" t="s">
        <v>236</v>
      </c>
      <c r="C44" s="1381" t="s">
        <v>237</v>
      </c>
      <c r="D44" s="1381" t="s">
        <v>521</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235</v>
      </c>
      <c r="B45" s="1381" t="s">
        <v>236</v>
      </c>
      <c r="C45" s="1381" t="s">
        <v>237</v>
      </c>
      <c r="D45" s="1381" t="s">
        <v>521</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235</v>
      </c>
      <c r="B46" s="1381" t="s">
        <v>236</v>
      </c>
      <c r="C46" s="1381" t="s">
        <v>237</v>
      </c>
      <c r="D46" s="1381" t="s">
        <v>521</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235</v>
      </c>
      <c r="B47" s="1381" t="s">
        <v>236</v>
      </c>
      <c r="C47" s="1381" t="s">
        <v>237</v>
      </c>
      <c r="D47" s="1381" t="s">
        <v>521</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235</v>
      </c>
      <c r="B48" s="1381" t="s">
        <v>236</v>
      </c>
      <c r="C48" s="1381" t="s">
        <v>237</v>
      </c>
      <c r="D48" s="1381" t="s">
        <v>521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235</v>
      </c>
      <c r="B49" s="1381" t="s">
        <v>236</v>
      </c>
      <c r="C49" s="1381" t="s">
        <v>237</v>
      </c>
      <c r="D49" s="1381" t="s">
        <v>521</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235</v>
      </c>
      <c r="B50" s="1381" t="s">
        <v>236</v>
      </c>
      <c r="C50" s="1381" t="s">
        <v>237</v>
      </c>
      <c r="D50" s="1381" t="s">
        <v>521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235</v>
      </c>
      <c r="B51" s="1361" t="s">
        <v>236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ABCA7-D67A-6645-BBF4-48C939D760F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515</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ИМУП «ПОСЖИЛКОМСЕРВИС»</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516</v>
      </c>
      <c r="W38" s="2099" t="s">
        <v>517</v>
      </c>
      <c r="X38" s="2101"/>
      <c r="Y38" s="2099" t="s">
        <v>422</v>
      </c>
      <c r="Z38" s="2100"/>
      <c r="AA38" s="2101"/>
      <c r="AB38" s="2111"/>
      <c r="AC38" s="1501" t="s">
        <v>516</v>
      </c>
      <c r="AD38" s="2099" t="s">
        <v>517</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518</v>
      </c>
      <c r="W39" s="1225" t="s">
        <v>519</v>
      </c>
      <c r="X39" s="1225" t="s">
        <v>520</v>
      </c>
      <c r="Y39" s="1507" t="s">
        <v>432</v>
      </c>
      <c r="Z39" s="2102" t="s">
        <v>433</v>
      </c>
      <c r="AA39" s="2103"/>
      <c r="AB39" s="2112"/>
      <c r="AC39" s="1501" t="s">
        <v>518</v>
      </c>
      <c r="AD39" s="1225" t="s">
        <v>519</v>
      </c>
      <c r="AE39" s="1225" t="s">
        <v>520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235</v>
      </c>
      <c r="B42" s="1381" t="s">
        <v>236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235</v>
      </c>
      <c r="B43" s="1381" t="s">
        <v>236</v>
      </c>
      <c r="C43" s="1381" t="s">
        <v>237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515</v>
      </c>
      <c r="AM43" s="496"/>
      <c r="AN43" s="496" t="str">
        <f>IF(T43="","",T43)</f>
        <v>Наименование централизованной системы горячего водоснабжения</v>
      </c>
      <c r="AO43" s="496"/>
      <c r="AP43" s="496"/>
    </row>
    <row customHeight="1" ht="23.25">
      <c r="A44" s="1381" t="s">
        <v>235</v>
      </c>
      <c r="B44" s="1381" t="s">
        <v>236</v>
      </c>
      <c r="C44" s="1381" t="s">
        <v>237</v>
      </c>
      <c r="D44" s="1381" t="s">
        <v>521</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235</v>
      </c>
      <c r="B45" s="1381" t="s">
        <v>236</v>
      </c>
      <c r="C45" s="1381" t="s">
        <v>237</v>
      </c>
      <c r="D45" s="1381" t="s">
        <v>521</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235</v>
      </c>
      <c r="B46" s="1381" t="s">
        <v>236</v>
      </c>
      <c r="C46" s="1381" t="s">
        <v>237</v>
      </c>
      <c r="D46" s="1381" t="s">
        <v>521</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235</v>
      </c>
      <c r="B47" s="1381" t="s">
        <v>236</v>
      </c>
      <c r="C47" s="1381" t="s">
        <v>237</v>
      </c>
      <c r="D47" s="1381" t="s">
        <v>521</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235</v>
      </c>
      <c r="B48" s="1381" t="s">
        <v>236</v>
      </c>
      <c r="C48" s="1381" t="s">
        <v>237</v>
      </c>
      <c r="D48" s="1381" t="s">
        <v>521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235</v>
      </c>
      <c r="B49" s="1381" t="s">
        <v>236</v>
      </c>
      <c r="C49" s="1381" t="s">
        <v>237</v>
      </c>
      <c r="D49" s="1381" t="s">
        <v>521</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235</v>
      </c>
      <c r="B50" s="1381" t="s">
        <v>236</v>
      </c>
      <c r="C50" s="1381" t="s">
        <v>237</v>
      </c>
      <c r="D50" s="1381" t="s">
        <v>521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235</v>
      </c>
      <c r="B51" s="1361" t="s">
        <v>236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C04C8-C9BA-884C-428F-8C5FFE20036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514</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515</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487</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488</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ИМУП «ПОСЖИЛКОМСЕРВИС»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492</v>
      </c>
      <c r="AE41" s="2127"/>
      <c r="AF41" s="2127"/>
      <c r="AG41" s="2155"/>
      <c r="AH41" s="2154" t="s">
        <v>493</v>
      </c>
      <c r="AI41" s="2127"/>
      <c r="AJ41" s="2127"/>
      <c r="AK41" s="2155"/>
      <c r="AL41" s="2154" t="s">
        <v>494</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496</v>
      </c>
      <c r="AU42" s="2011"/>
      <c r="AV42" s="2010" t="s">
        <v>497</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97" t="s">
        <v>464</v>
      </c>
      <c r="W44" s="1497" t="s">
        <v>465</v>
      </c>
      <c r="X44" s="1497" t="s">
        <v>464</v>
      </c>
      <c r="Y44" s="1497" t="s">
        <v>465</v>
      </c>
      <c r="Z44" s="1507"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97" t="s">
        <v>464</v>
      </c>
      <c r="AU44" s="1497" t="s">
        <v>465</v>
      </c>
      <c r="AV44" s="1497" t="s">
        <v>464</v>
      </c>
      <c r="AW44" s="1497" t="s">
        <v>465</v>
      </c>
      <c r="AX44" s="1507" t="s">
        <v>432</v>
      </c>
      <c r="AY44" s="2102" t="s">
        <v>433</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245</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245</v>
      </c>
      <c r="B47" s="1381" t="s">
        <v>246</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33.75">
      <c r="A48" s="1381" t="s">
        <v>245</v>
      </c>
      <c r="B48" s="1381" t="s">
        <v>246</v>
      </c>
      <c r="C48" s="1381" t="s">
        <v>247</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514</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515</v>
      </c>
      <c r="BE48" s="496"/>
      <c r="BF48" s="496" t="str">
        <f>IF(T48="","",T48)</f>
        <v>Наименование централизованной системы горячего водоснабжения</v>
      </c>
      <c r="BG48" s="496"/>
      <c r="BH48" s="496"/>
    </row>
    <row s="1668" customFormat="1" customHeight="1" ht="0">
      <c r="A49" s="1361" t="s">
        <v>245</v>
      </c>
      <c r="B49" s="1361" t="s">
        <v>246</v>
      </c>
      <c r="C49" s="1361" t="s">
        <v>247</v>
      </c>
      <c r="D49" s="1361" t="s">
        <v>522</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245</v>
      </c>
      <c r="B50" s="1361" t="s">
        <v>246</v>
      </c>
      <c r="C50" s="1361" t="s">
        <v>247</v>
      </c>
      <c r="D50" s="1361" t="s">
        <v>522</v>
      </c>
      <c r="E50" s="2089"/>
      <c r="F50" s="2089"/>
      <c r="G50" s="2089"/>
      <c r="H50" s="2089"/>
      <c r="I50" s="2090" t="str">
        <f>S49&amp;".1"</f>
        <v>.1</v>
      </c>
      <c r="J50" s="1361"/>
      <c r="K50" s="1361"/>
      <c r="L50" s="1364" t="s">
        <v>389</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245</v>
      </c>
      <c r="B51" s="1361" t="s">
        <v>246</v>
      </c>
      <c r="C51" s="1361" t="s">
        <v>247</v>
      </c>
      <c r="D51" s="1361" t="s">
        <v>522</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245</v>
      </c>
      <c r="B52" s="1381" t="s">
        <v>246</v>
      </c>
      <c r="C52" s="1381" t="s">
        <v>247</v>
      </c>
      <c r="D52" s="1381" t="s">
        <v>522</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245</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487</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245</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488</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245</v>
      </c>
      <c r="B56" s="1381" t="s">
        <v>246</v>
      </c>
      <c r="C56" s="1381" t="s">
        <v>247</v>
      </c>
      <c r="D56" s="1381" t="s">
        <v>522</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245</v>
      </c>
      <c r="B57" s="1381" t="s">
        <v>246</v>
      </c>
      <c r="C57" s="1381" t="s">
        <v>247</v>
      </c>
      <c r="D57" s="1381" t="s">
        <v>522</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245</v>
      </c>
      <c r="B58" s="1361" t="s">
        <v>246</v>
      </c>
      <c r="C58" s="1361" t="s">
        <v>247</v>
      </c>
      <c r="D58" s="1361" t="s">
        <v>522</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245</v>
      </c>
      <c r="B59" s="1361" t="s">
        <v>246</v>
      </c>
      <c r="C59" s="1361" t="s">
        <v>247</v>
      </c>
      <c r="D59" s="1361" t="s">
        <v>522</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245</v>
      </c>
      <c r="B60" s="1361" t="s">
        <v>246</v>
      </c>
      <c r="C60" s="1361" t="s">
        <v>247</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245</v>
      </c>
      <c r="B61" s="1361" t="s">
        <v>246</v>
      </c>
      <c r="C61" s="1332"/>
      <c r="D61" s="1332"/>
      <c r="E61" s="2089"/>
      <c r="F61" s="2088"/>
      <c r="G61" s="1332"/>
      <c r="H61" s="1332"/>
      <c r="I61" s="1332"/>
      <c r="J61" s="1332"/>
      <c r="K61" s="1332"/>
      <c r="L61" s="151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245</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BBA4-1C8D-6543-9C14-690BDC4262E3}"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действия тарифа)</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82</v>
      </c>
      <c r="F8" s="1937"/>
      <c r="G8" s="1938"/>
      <c r="H8" s="1939" t="s">
        <v>83</v>
      </c>
      <c r="I8" s="1939"/>
      <c r="J8" s="135"/>
      <c r="K8" s="135"/>
      <c r="L8" s="135"/>
      <c r="M8" s="135"/>
      <c r="N8" s="205"/>
      <c r="O8" s="135"/>
      <c r="P8" s="204"/>
      <c r="Q8" s="204"/>
      <c r="R8" s="204"/>
      <c r="S8" s="204"/>
    </row>
    <row s="1845" customFormat="1" customHeight="1" ht="20.25">
      <c r="A9" s="754"/>
      <c r="B9" s="414"/>
      <c r="C9" s="754"/>
      <c r="D9" s="144"/>
      <c r="E9" s="772" t="s">
        <v>84</v>
      </c>
      <c r="F9" s="772"/>
      <c r="G9" s="152" t="s">
        <v>85</v>
      </c>
      <c r="H9" s="152" t="s">
        <v>85</v>
      </c>
      <c r="I9" s="152" t="s">
        <v>81</v>
      </c>
      <c r="J9" s="135"/>
      <c r="K9" s="135"/>
      <c r="L9" s="135"/>
      <c r="M9" s="135"/>
      <c r="N9" s="205"/>
      <c r="O9" s="135"/>
      <c r="P9" s="204"/>
      <c r="Q9" s="204"/>
      <c r="R9" s="204"/>
      <c r="S9" s="204"/>
    </row>
    <row customHeight="1" ht="11.25">
      <c r="D10" s="156"/>
      <c r="E10" s="773" t="s">
        <v>86</v>
      </c>
      <c r="F10" s="773"/>
      <c r="G10" s="202" t="s">
        <v>87</v>
      </c>
      <c r="H10" s="202" t="s">
        <v>88</v>
      </c>
      <c r="I10" s="202" t="s">
        <v>89</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90</v>
      </c>
      <c r="K11" s="135"/>
      <c r="L11" s="135"/>
      <c r="M11" s="135" t="s">
        <v>91</v>
      </c>
      <c r="N11" s="205" t="s">
        <v>92</v>
      </c>
      <c r="O11" s="135" t="s">
        <v>93</v>
      </c>
      <c r="P11" s="204"/>
      <c r="Q11" s="204"/>
      <c r="R11" s="204"/>
      <c r="S11" s="204"/>
    </row>
    <row s="1845" customFormat="1" customHeight="1" ht="14.25">
      <c r="A12" s="1934">
        <v>1</v>
      </c>
      <c r="B12" s="414"/>
      <c r="C12" s="754"/>
      <c r="D12" s="777"/>
      <c r="E12" s="198">
        <f>A12</f>
        <v>1</v>
      </c>
      <c r="F12" s="797" t="s">
        <v>94</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95</v>
      </c>
      <c r="G13" s="788" t="s">
        <v>96</v>
      </c>
      <c r="H13" s="788" t="s">
        <v>97</v>
      </c>
      <c r="I13" s="786" t="s">
        <v>98</v>
      </c>
      <c r="J13" s="496">
        <f>MERGEVALUE(G13)</f>
      </c>
      <c r="K13" s="507"/>
      <c r="L13" s="507"/>
      <c r="M13" s="496" t="str">
        <f t="array" ref="M13:M13">IF(ISERROR(MATCH(MID(N13,1,250),MID(note_ter,1,250),0)),"n","y")</f>
        <v>n</v>
      </c>
      <c r="N13" s="507"/>
      <c r="O13" s="496" t="str">
        <f>H13&amp;"("&amp;I13&amp;")"</f>
        <v>Рабочий поселок Искателей(11811111)</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99</v>
      </c>
      <c r="H14" s="167"/>
      <c r="I14" s="420"/>
      <c r="J14" s="507"/>
      <c r="K14" s="507"/>
      <c r="L14" s="507"/>
      <c r="M14" s="507"/>
      <c r="N14" s="496"/>
      <c r="O14" s="507"/>
      <c r="P14" s="414"/>
      <c r="Q14" s="414"/>
      <c r="R14" s="417"/>
      <c r="S14" s="414"/>
      <c r="T14" s="414"/>
      <c r="U14" s="414"/>
      <c r="V14" s="419"/>
      <c r="W14" s="419"/>
      <c r="X14" s="416"/>
      <c r="Y14" s="416"/>
      <c r="Z14" s="416"/>
      <c r="AA14" s="416"/>
      <c r="AB14" s="416"/>
    </row>
    <row s="1845" customFormat="1" customHeight="1" ht="14.25">
      <c r="A15" s="754"/>
      <c r="B15" s="414"/>
      <c r="C15" s="754"/>
      <c r="D15" s="777"/>
      <c r="E15" s="789"/>
      <c r="F15" s="158"/>
      <c r="G15" s="413" t="s">
        <v>100</v>
      </c>
      <c r="H15" s="158"/>
      <c r="I15" s="159"/>
      <c r="J15" s="228"/>
      <c r="K15" s="135"/>
      <c r="L15" s="135"/>
      <c r="M15" s="135"/>
      <c r="N15" s="205" t="s">
        <v>101</v>
      </c>
      <c r="O15" s="135"/>
      <c r="P15" s="204"/>
      <c r="Q15" s="204"/>
      <c r="R15" s="204"/>
      <c r="S15" s="204"/>
    </row>
    <row s="1845" customFormat="1" customHeight="1" ht="21">
      <c r="A16" s="754"/>
      <c r="B16" s="414"/>
      <c r="C16" s="754"/>
      <c r="D16" s="145"/>
      <c r="E16" s="160"/>
      <c r="F16" s="160"/>
      <c r="G16" s="160"/>
      <c r="H16" s="160"/>
      <c r="I16" s="160"/>
      <c r="J16" s="135"/>
      <c r="K16" s="135"/>
      <c r="L16" s="135"/>
      <c r="M16" s="135"/>
      <c r="N16" s="205"/>
      <c r="O16" s="135"/>
      <c r="P16" s="204"/>
      <c r="Q16" s="204"/>
      <c r="R16" s="204"/>
      <c r="S16" s="204"/>
    </row>
    <row s="1845" customFormat="1" customHeight="1" ht="14.25">
      <c r="A17" s="754"/>
      <c r="B17" s="414"/>
      <c r="C17" s="754"/>
      <c r="D17" s="145"/>
      <c r="E17" s="64"/>
      <c r="F17" s="754"/>
      <c r="G17" s="64"/>
      <c r="H17" s="64"/>
      <c r="I17" s="64"/>
      <c r="J17" s="135"/>
      <c r="K17" s="135"/>
      <c r="L17" s="135"/>
      <c r="M17" s="135"/>
      <c r="N17" s="205"/>
      <c r="O17" s="135"/>
      <c r="P17" s="204"/>
      <c r="Q17" s="204"/>
      <c r="R17" s="204"/>
      <c r="S17" s="204"/>
    </row>
    <row s="1845" customFormat="1" customHeight="1" ht="0.75">
      <c r="A18" s="754"/>
      <c r="B18" s="414"/>
      <c r="C18" s="754"/>
      <c r="D18" s="145"/>
      <c r="E18" s="64"/>
      <c r="F18" s="754"/>
      <c r="G18" s="64"/>
      <c r="H18" s="64"/>
      <c r="I18" s="64"/>
      <c r="J18" s="135"/>
      <c r="K18" s="135"/>
      <c r="L18" s="135"/>
      <c r="M18" s="135"/>
      <c r="N18" s="205"/>
      <c r="O18" s="135"/>
      <c r="P18" s="204"/>
      <c r="Q18" s="204"/>
      <c r="R18" s="204"/>
      <c r="S18" s="204"/>
    </row>
    <row s="1060" customFormat="1" customHeight="1" ht="10.5">
      <c r="B19" s="829"/>
      <c r="D19" s="162"/>
      <c r="J19" s="135"/>
      <c r="K19" s="135"/>
      <c r="L19" s="135"/>
      <c r="M19" s="135"/>
      <c r="N19" s="205"/>
      <c r="O19" s="135"/>
      <c r="P19" s="204"/>
      <c r="Q19" s="204"/>
      <c r="R19" s="204"/>
      <c r="S19" s="204"/>
    </row>
    <row s="1060" customFormat="1" customHeight="1" ht="10.5">
      <c r="B20" s="829"/>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16EBB-5177-43A8-E72A-CBCC4D21ABCF}"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customHeight="1" ht="11.25" hidden="1"/>
    <row customHeight="1" ht="23.25" hidden="1">
      <c r="B2" s="1934"/>
      <c r="C2" s="1163" t="s">
        <v>523</v>
      </c>
      <c r="D2" s="1664"/>
      <c r="E2" s="542">
        <f>B2</f>
        <v>0</v>
      </c>
      <c r="F2" s="543"/>
      <c r="G2" s="1672" t="s">
        <v>524</v>
      </c>
      <c r="H2" s="1672" t="s">
        <v>524</v>
      </c>
      <c r="I2" s="1672" t="s">
        <v>524</v>
      </c>
      <c r="J2" s="270" t="s">
        <v>525</v>
      </c>
      <c r="K2" s="539"/>
    </row>
    <row s="1668" customFormat="1" customHeight="1" ht="0.75" hidden="1">
      <c r="B3" s="1934"/>
      <c r="C3" s="1163"/>
      <c r="D3" s="544"/>
      <c r="E3" s="545"/>
      <c r="F3" s="546" t="s">
        <v>526</v>
      </c>
      <c r="G3" s="547"/>
      <c r="H3" s="547">
        <f>H4*H5+H7</f>
        <v>0</v>
      </c>
      <c r="I3" s="547">
        <f>I4*I5+I6</f>
        <v>0</v>
      </c>
      <c r="J3" s="548"/>
    </row>
    <row customHeight="1" ht="23.25" hidden="1">
      <c r="B4" s="1934"/>
      <c r="C4" s="1163"/>
      <c r="D4" s="1664"/>
      <c r="E4" s="542" t="str">
        <f>B2&amp;".1"</f>
        <v>.1</v>
      </c>
      <c r="F4" s="549" t="s">
        <v>527</v>
      </c>
      <c r="G4" s="550"/>
      <c r="H4" s="537"/>
      <c r="I4" s="537"/>
      <c r="J4" s="270" t="s">
        <v>528</v>
      </c>
      <c r="K4" s="539"/>
    </row>
    <row customHeight="1" ht="18.75" hidden="1">
      <c r="B5" s="1934"/>
      <c r="C5" s="1163"/>
      <c r="D5" s="1664"/>
      <c r="E5" s="542" t="str">
        <f>B2&amp;".2"</f>
        <v>.2</v>
      </c>
      <c r="F5" s="549" t="s">
        <v>529</v>
      </c>
      <c r="G5" s="1672" t="s">
        <v>530</v>
      </c>
      <c r="H5" s="537"/>
      <c r="I5" s="537"/>
      <c r="J5" s="270"/>
      <c r="K5" s="539"/>
    </row>
    <row customHeight="1" ht="18.75" hidden="1">
      <c r="B6" s="1934"/>
      <c r="C6" s="1163"/>
      <c r="D6" s="1664"/>
      <c r="E6" s="542" t="str">
        <f>B2&amp;".3"</f>
        <v>.3</v>
      </c>
      <c r="F6" s="549" t="s">
        <v>531</v>
      </c>
      <c r="G6" s="1672" t="s">
        <v>530</v>
      </c>
      <c r="H6" s="537"/>
      <c r="I6" s="537"/>
      <c r="J6" s="270"/>
      <c r="K6" s="539"/>
    </row>
    <row customHeight="1" ht="18.75" hidden="1">
      <c r="B7" s="1934"/>
      <c r="C7" s="1163"/>
      <c r="D7" s="1664"/>
      <c r="E7" s="542" t="str">
        <f>B2&amp;".4"</f>
        <v>.4</v>
      </c>
      <c r="F7" s="549" t="s">
        <v>532</v>
      </c>
      <c r="G7" s="1672" t="s">
        <v>524</v>
      </c>
      <c r="H7" s="551"/>
      <c r="I7" s="551"/>
      <c r="J7" s="270"/>
      <c r="K7" s="539"/>
    </row>
    <row s="1384" customFormat="1" customHeight="1" ht="11.25" hidden="1">
      <c r="A8" s="983"/>
      <c r="C8" s="1662"/>
      <c r="D8" s="533"/>
      <c r="H8" s="1156">
        <v>4</v>
      </c>
      <c r="I8" s="1156">
        <v>4</v>
      </c>
      <c r="L8" s="1662"/>
      <c r="M8" s="1662"/>
      <c r="R8" s="1662"/>
    </row>
    <row s="1384" customFormat="1" customHeight="1" ht="22.5" hidden="1">
      <c r="A9" s="983"/>
      <c r="C9" s="1662"/>
      <c r="D9" s="534"/>
      <c r="E9" s="1674"/>
      <c r="F9" s="536"/>
      <c r="G9" s="1672" t="s">
        <v>530</v>
      </c>
      <c r="H9" s="537"/>
      <c r="I9" s="537"/>
      <c r="J9" s="538" t="s">
        <v>533</v>
      </c>
      <c r="K9" s="539"/>
      <c r="L9" s="1662"/>
      <c r="M9" s="1662"/>
      <c r="R9" s="1662"/>
      <c r="U9" s="540"/>
      <c r="AA9" s="1658"/>
      <c r="AB9" s="1658"/>
      <c r="AC9" s="1658"/>
      <c r="AD9" s="1658"/>
      <c r="AE9" s="1658"/>
    </row>
    <row customHeight="1" ht="11.25" hidden="1"/>
    <row customHeight="1" ht="18.75" hidden="1">
      <c r="D11" s="1664"/>
      <c r="E11" s="542"/>
      <c r="F11" s="536"/>
      <c r="G11" s="1672" t="s">
        <v>534</v>
      </c>
      <c r="H11" s="537"/>
      <c r="I11" s="537"/>
      <c r="J11" s="270" t="s">
        <v>535</v>
      </c>
      <c r="K11" s="539"/>
    </row>
    <row customHeight="1" ht="11.25" hidden="1"/>
    <row customHeight="1" ht="22.5" hidden="1">
      <c r="D13" s="1664"/>
      <c r="E13" s="542"/>
      <c r="F13" s="536"/>
      <c r="G13" s="965" t="s">
        <v>536</v>
      </c>
      <c r="H13" s="541"/>
      <c r="I13" s="541"/>
      <c r="J13" s="740" t="s">
        <v>537</v>
      </c>
      <c r="K13" s="539"/>
    </row>
    <row customHeight="1" ht="11.25" hidden="1"/>
    <row customHeight="1" ht="22.5" hidden="1">
      <c r="D15" s="1664"/>
      <c r="E15" s="542"/>
      <c r="F15" s="536"/>
      <c r="G15" s="1672" t="s">
        <v>538</v>
      </c>
      <c r="H15" s="541"/>
      <c r="I15" s="541"/>
      <c r="J15" s="270" t="s">
        <v>539</v>
      </c>
      <c r="K15" s="539"/>
    </row>
    <row customHeight="1" ht="11.25" hidden="1"/>
    <row customHeight="1" ht="22.5" hidden="1">
      <c r="D17" s="1664"/>
      <c r="E17" s="542"/>
      <c r="F17" s="536"/>
      <c r="G17" s="1672" t="s">
        <v>540</v>
      </c>
      <c r="H17" s="541"/>
      <c r="I17" s="541"/>
      <c r="J17" s="270" t="s">
        <v>541</v>
      </c>
      <c r="K17" s="539"/>
    </row>
    <row customHeight="1" ht="11.25" hidden="1"/>
    <row s="1658" customFormat="1" customHeight="1" ht="11.25" hidden="1">
      <c r="A19" s="983"/>
      <c r="B19" s="1156"/>
      <c r="C19" s="1662"/>
      <c r="D19" s="352"/>
      <c r="J19" s="1658">
        <v>4</v>
      </c>
      <c r="K19" s="1156"/>
      <c r="L19" s="1662"/>
      <c r="M19" s="1662"/>
      <c r="N19" s="1156"/>
      <c r="O19" s="1156"/>
      <c r="P19" s="1156"/>
      <c r="Q19" s="1156"/>
      <c r="R19" s="1662"/>
      <c r="S19" s="1156"/>
      <c r="T19" s="1156"/>
      <c r="U19" s="540"/>
      <c r="V19" s="1156"/>
      <c r="W19" s="1156"/>
      <c r="X19" s="1156"/>
      <c r="Y19" s="1156"/>
      <c r="Z19" s="1156"/>
    </row>
    <row r="21" customHeight="1" ht="24">
      <c r="E21" s="212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21"/>
      <c r="G21" s="2121"/>
      <c r="H21" s="2121"/>
      <c r="I21" s="2121"/>
      <c r="J21" s="552"/>
    </row>
    <row customHeight="1" ht="24">
      <c r="E22" s="2122" t="str">
        <f>IF(org=0,"Не определено",org)</f>
        <v>ИМУП «ПОСЖИЛКОМСЕРВИС»</v>
      </c>
      <c r="F22" s="2122"/>
      <c r="G22" s="2122"/>
      <c r="H22" s="2122"/>
      <c r="I22" s="2122"/>
    </row>
    <row customHeight="1" ht="11.25">
      <c r="E23" s="1131"/>
      <c r="F23" s="1131"/>
      <c r="G23" s="1131"/>
      <c r="H23" s="1131"/>
      <c r="I23" s="1131"/>
    </row>
    <row s="1668" customFormat="1" customHeight="1" ht="0.75">
      <c r="A24" s="1163"/>
      <c r="D24" s="1668"/>
      <c r="H24" s="884"/>
      <c r="I24" s="884" t="s">
        <v>114</v>
      </c>
    </row>
    <row customHeight="1" ht="11.25">
      <c r="E25" s="706"/>
      <c r="F25" s="2200" t="s">
        <v>102</v>
      </c>
      <c r="G25" s="2201"/>
      <c r="H25" s="1678" t="str">
        <f>IF(H24="","",INDEX(DIFFERENTIATION_UNMERGE_VD,MATCH(H24,DIFFERENTIATION_ID_DIFF,0)))</f>
        <v/>
      </c>
      <c r="I25" s="1678" t="str">
        <f>IF(I24="","",INDEX(DIFFERENTIATION_UNMERGE_VD,MATCH(I24,DIFFERENTIATION_ID_DIFF,0)))</f>
        <v>Горячее водоснабжение</v>
      </c>
      <c r="J25" s="1952"/>
    </row>
    <row customHeight="1" ht="11.25">
      <c r="E26" s="706"/>
      <c r="F26" s="2200" t="s">
        <v>542</v>
      </c>
      <c r="G26" s="2201"/>
      <c r="H26" s="1678" t="str">
        <f>IF(H24="","",INDEX(DIFFERENTIATION_UNMERGE_AREA,MATCH(H24,DIFFERENTIATION_ID_DIFF,0)))</f>
        <v/>
      </c>
      <c r="I26" s="1678" t="str">
        <f>IF(I24="","",INDEX(DIFFERENTIATION_UNMERGE_AREA,MATCH(I24,DIFFERENTIATION_ID_DIFF,0)))</f>
        <v>Территория 1</v>
      </c>
      <c r="J26" s="1952"/>
    </row>
    <row customHeight="1" ht="11.25">
      <c r="E27" s="706"/>
      <c r="F27" s="2200" t="s">
        <v>543</v>
      </c>
      <c r="G27" s="2201"/>
      <c r="H27" s="1678" t="str">
        <f>IF(H24="","",INDEX(DIFFERENTIATION_UNMERGE_SYSTEM,MATCH(H24,DIFFERENTIATION_ID_DIFF,0)))</f>
        <v/>
      </c>
      <c r="I27" s="1678" t="str">
        <f>IF(I24="","",INDEX(DIFFERENTIATION_UNMERGE_SYSTEM,MATCH(I24,DIFFERENTIATION_ID_DIFF,0)))</f>
        <v>без дифференциации</v>
      </c>
      <c r="J27" s="1952"/>
    </row>
    <row customHeight="1" ht="11.25">
      <c r="E28" s="2202" t="s">
        <v>284</v>
      </c>
      <c r="F28" s="2203"/>
      <c r="G28" s="2203"/>
      <c r="H28" s="1671"/>
      <c r="I28" s="1671"/>
      <c r="J28" s="1952"/>
    </row>
    <row customHeight="1" ht="22.5">
      <c r="E29" s="1672" t="s">
        <v>84</v>
      </c>
      <c r="F29" s="1679" t="s">
        <v>286</v>
      </c>
      <c r="G29" s="1679" t="s">
        <v>544</v>
      </c>
      <c r="H29" s="1679" t="s">
        <v>287</v>
      </c>
      <c r="I29" s="1679" t="s">
        <v>287</v>
      </c>
      <c r="J29" s="1952"/>
    </row>
    <row customHeight="1" ht="22.5">
      <c r="D30" s="1664"/>
      <c r="E30" s="542">
        <f>FHD_NUM_P_1</f>
        <v>1</v>
      </c>
      <c r="F30" s="1906" t="str">
        <f>FHD_P_1</f>
        <v>Выручка от регулируемых видов деятельности в сфере горячего водоснабжения</v>
      </c>
      <c r="G30" s="1904" t="s">
        <v>530</v>
      </c>
      <c r="H30" s="553"/>
      <c r="I30" s="553"/>
      <c r="J30" s="270" t="str">
        <f>FHD_NOTE_P_1</f>
        <v>Указывается выручка с распределением по видам деятельности.</v>
      </c>
      <c r="K30" s="539"/>
    </row>
    <row customHeight="1" ht="22.5">
      <c r="D31" s="1664"/>
      <c r="E31" s="542">
        <f>FHD_NUM_P_2</f>
        <v>2</v>
      </c>
      <c r="F31" s="1906" t="str">
        <f>FHD_P_2</f>
        <v>Себестоимость производимых товаров (оказываемых услуг) по регулируемым видам деятельности в сфере горячего водоснабжения, включая:</v>
      </c>
      <c r="G31" s="1904" t="s">
        <v>530</v>
      </c>
      <c r="H31" s="554">
        <f>SUMIF($K33:$K71,$K31,H33:H71)</f>
        <v>0</v>
      </c>
      <c r="I31" s="554">
        <f>SUMIF($K33:$K71,$K31,I33:I71)</f>
        <v>0</v>
      </c>
      <c r="J31" s="270" t="str">
        <f>FHD_NOTE_P_2</f>
        <v>Указывается суммарная себестоимость производимых товаров.</v>
      </c>
      <c r="K31" s="1662" t="s">
        <v>545</v>
      </c>
    </row>
    <row customHeight="1" ht="22.5">
      <c r="D32" s="1664"/>
      <c r="E32" s="542" t="str">
        <f>FHD_NUM_P_3</f>
        <v>2.1</v>
      </c>
      <c r="F32" s="1542" t="str">
        <f>FHD_P_3</f>
        <v>Расходы на приобретаемую тепловую энергию (мощность), используемую для горячего водоснабжения</v>
      </c>
      <c r="G32" s="1904" t="s">
        <v>530</v>
      </c>
      <c r="H32" s="553"/>
      <c r="I32" s="553"/>
      <c r="J32" s="270" t="str">
        <f>FHD_NOTE_P_3</f>
        <v/>
      </c>
      <c r="K32" s="1662" t="str">
        <f>IF((LEN(E32)-LEN(SUBSTITUTE(E32,".","")))/LEN(".")=1,"p","")</f>
        <v>p</v>
      </c>
    </row>
    <row customHeight="1" ht="11.25" hidden="1">
      <c r="A33" s="2191" t="s">
        <v>546</v>
      </c>
      <c r="D33" s="1664"/>
      <c r="E33" s="542" t="str">
        <f>FHD_NUM_P_4</f>
        <v/>
      </c>
      <c r="F33" s="1542" t="str">
        <f>FHD_P_4</f>
        <v/>
      </c>
      <c r="G33" s="1904" t="s">
        <v>530</v>
      </c>
      <c r="H33" s="554">
        <f>SUMIF($F34:$F40,$F3,H34:H40)</f>
        <v>0</v>
      </c>
      <c r="I33" s="554">
        <f>SUMIF($F34:$F40,$F3,I34:I40)</f>
        <v>0</v>
      </c>
      <c r="J33" s="270" t="str">
        <f>FHD_NOTE_P_4</f>
        <v/>
      </c>
      <c r="K33" s="1662" t="str">
        <f>IF((LEN(E33)-LEN(SUBSTITUTE(E33,".","")))/LEN(".")=1,"p","")</f>
        <v/>
      </c>
    </row>
    <row s="1667" customFormat="1" customHeight="1" ht="0.75" hidden="1">
      <c r="A34" s="2191"/>
      <c r="B34" s="2198" t="str">
        <f>E33&amp;".0"</f>
        <v>.0</v>
      </c>
      <c r="C34" s="1163"/>
      <c r="D34" s="556"/>
      <c r="E34" s="557"/>
      <c r="F34" s="558"/>
      <c r="G34" s="559"/>
      <c r="H34" s="493"/>
      <c r="I34" s="493"/>
      <c r="J34" s="560"/>
      <c r="K34" s="1662" t="str">
        <f>IF((LEN(E34)-LEN(SUBSTITUTE(E34,".","")))/LEN(".")=1,"p","")</f>
        <v/>
      </c>
      <c r="L34" s="1662"/>
      <c r="M34" s="1662"/>
      <c r="N34" s="1662"/>
      <c r="O34" s="1662"/>
      <c r="P34" s="1662"/>
      <c r="Q34" s="1662"/>
      <c r="R34" s="1662"/>
      <c r="S34" s="1662"/>
      <c r="T34" s="1662"/>
      <c r="U34" s="561"/>
      <c r="V34" s="1662"/>
      <c r="W34" s="1662"/>
      <c r="X34" s="1662"/>
      <c r="Y34" s="1662"/>
      <c r="Z34" s="1662"/>
      <c r="AA34" s="562"/>
      <c r="AB34" s="562"/>
      <c r="AC34" s="562"/>
      <c r="AD34" s="562"/>
      <c r="AE34" s="562"/>
    </row>
    <row s="1667" customFormat="1" customHeight="1" ht="0.75" hidden="1">
      <c r="A35" s="2191"/>
      <c r="B35" s="2198"/>
      <c r="C35" s="1163"/>
      <c r="D35" s="556"/>
      <c r="E35" s="563"/>
      <c r="F35" s="564"/>
      <c r="G35" s="559"/>
      <c r="H35" s="565"/>
      <c r="I35" s="565"/>
      <c r="J35" s="560"/>
      <c r="K35" s="1662" t="str">
        <f>IF((LEN(E35)-LEN(SUBSTITUTE(E35,".","")))/LEN(".")=1,"p","")</f>
        <v/>
      </c>
      <c r="L35" s="1662"/>
      <c r="M35" s="1662"/>
      <c r="N35" s="1662"/>
      <c r="O35" s="1662"/>
      <c r="P35" s="1662"/>
      <c r="Q35" s="1662"/>
      <c r="R35" s="1662"/>
      <c r="S35" s="1662"/>
      <c r="T35" s="1662"/>
      <c r="U35" s="561"/>
      <c r="V35" s="1662"/>
      <c r="W35" s="1662"/>
      <c r="X35" s="1662"/>
      <c r="Y35" s="1662"/>
      <c r="Z35" s="1662"/>
      <c r="AA35" s="562"/>
      <c r="AB35" s="562"/>
      <c r="AC35" s="562"/>
      <c r="AD35" s="562"/>
      <c r="AE35" s="562"/>
    </row>
    <row s="1667" customFormat="1" customHeight="1" ht="0.75" hidden="1">
      <c r="A36" s="2191"/>
      <c r="B36" s="2198"/>
      <c r="C36" s="1163"/>
      <c r="D36" s="556"/>
      <c r="E36" s="563"/>
      <c r="F36" s="564"/>
      <c r="G36" s="559"/>
      <c r="H36" s="565"/>
      <c r="I36" s="565"/>
      <c r="J36" s="560"/>
      <c r="K36" s="1662" t="str">
        <f>IF((LEN(E36)-LEN(SUBSTITUTE(E36,".","")))/LEN(".")=1,"p","")</f>
        <v/>
      </c>
      <c r="L36" s="1662"/>
      <c r="M36" s="1662"/>
      <c r="N36" s="1662"/>
      <c r="O36" s="1662"/>
      <c r="P36" s="1662"/>
      <c r="Q36" s="1662"/>
      <c r="R36" s="1662"/>
      <c r="S36" s="1662"/>
      <c r="T36" s="1662"/>
      <c r="U36" s="561"/>
      <c r="V36" s="1662"/>
      <c r="W36" s="1662"/>
      <c r="X36" s="1662"/>
      <c r="Y36" s="1662"/>
      <c r="Z36" s="1662"/>
      <c r="AA36" s="562"/>
      <c r="AB36" s="562"/>
      <c r="AC36" s="562"/>
      <c r="AD36" s="562"/>
      <c r="AE36" s="562"/>
    </row>
    <row s="1667" customFormat="1" customHeight="1" ht="0.75" hidden="1">
      <c r="A37" s="2191"/>
      <c r="B37" s="2198"/>
      <c r="C37" s="1163"/>
      <c r="D37" s="556"/>
      <c r="E37" s="563"/>
      <c r="F37" s="564"/>
      <c r="G37" s="559"/>
      <c r="H37" s="565"/>
      <c r="I37" s="565"/>
      <c r="J37" s="560"/>
      <c r="K37" s="1662" t="str">
        <f>IF((LEN(E37)-LEN(SUBSTITUTE(E37,".","")))/LEN(".")=1,"p","")</f>
        <v/>
      </c>
      <c r="L37" s="1662"/>
      <c r="M37" s="1662"/>
      <c r="N37" s="1662"/>
      <c r="O37" s="1662"/>
      <c r="P37" s="1662"/>
      <c r="Q37" s="1662"/>
      <c r="R37" s="1662"/>
      <c r="S37" s="1662"/>
      <c r="T37" s="1662"/>
      <c r="U37" s="561"/>
      <c r="V37" s="1662"/>
      <c r="W37" s="1662"/>
      <c r="X37" s="1662"/>
      <c r="Y37" s="1662"/>
      <c r="Z37" s="1662"/>
      <c r="AA37" s="562"/>
      <c r="AB37" s="562"/>
      <c r="AC37" s="562"/>
      <c r="AD37" s="562"/>
      <c r="AE37" s="562"/>
    </row>
    <row s="1667" customFormat="1" customHeight="1" ht="0.75" hidden="1">
      <c r="A38" s="2191"/>
      <c r="B38" s="2198"/>
      <c r="C38" s="1163"/>
      <c r="D38" s="556"/>
      <c r="E38" s="563"/>
      <c r="F38" s="564"/>
      <c r="G38" s="559"/>
      <c r="H38" s="565"/>
      <c r="I38" s="565"/>
      <c r="J38" s="560"/>
      <c r="K38" s="1662" t="str">
        <f>IF((LEN(E38)-LEN(SUBSTITUTE(E38,".","")))/LEN(".")=1,"p","")</f>
        <v/>
      </c>
      <c r="L38" s="1662"/>
      <c r="M38" s="1662"/>
      <c r="N38" s="1662"/>
      <c r="O38" s="1662"/>
      <c r="P38" s="1662"/>
      <c r="Q38" s="1662"/>
      <c r="R38" s="1662"/>
      <c r="S38" s="1662"/>
      <c r="T38" s="1662"/>
      <c r="U38" s="561"/>
      <c r="V38" s="1662"/>
      <c r="W38" s="1662"/>
      <c r="X38" s="1662"/>
      <c r="Y38" s="1662"/>
      <c r="Z38" s="1662"/>
      <c r="AA38" s="562"/>
      <c r="AB38" s="562"/>
      <c r="AC38" s="562"/>
      <c r="AD38" s="562"/>
      <c r="AE38" s="562"/>
    </row>
    <row s="1667" customFormat="1" customHeight="1" ht="0.75" hidden="1">
      <c r="A39" s="2191"/>
      <c r="B39" s="2198"/>
      <c r="C39" s="1163"/>
      <c r="D39" s="556"/>
      <c r="E39" s="563"/>
      <c r="F39" s="564"/>
      <c r="G39" s="559"/>
      <c r="H39" s="493"/>
      <c r="I39" s="493"/>
      <c r="J39" s="560"/>
      <c r="K39" s="1662" t="str">
        <f>IF((LEN(E39)-LEN(SUBSTITUTE(E39,".","")))/LEN(".")=1,"p","")</f>
        <v/>
      </c>
      <c r="L39" s="1662"/>
      <c r="M39" s="1662"/>
      <c r="N39" s="1662"/>
      <c r="O39" s="1662"/>
      <c r="P39" s="1662"/>
      <c r="Q39" s="1662"/>
      <c r="R39" s="1662"/>
      <c r="S39" s="1662"/>
      <c r="T39" s="1662"/>
      <c r="U39" s="561"/>
      <c r="V39" s="1662"/>
      <c r="W39" s="1662"/>
      <c r="X39" s="1662"/>
      <c r="Y39" s="1662"/>
      <c r="Z39" s="1662"/>
      <c r="AA39" s="562"/>
      <c r="AB39" s="562"/>
      <c r="AC39" s="562"/>
      <c r="AD39" s="562"/>
      <c r="AE39" s="562"/>
    </row>
    <row s="1384" customFormat="1" customHeight="1" ht="15" hidden="1">
      <c r="A40" s="2191"/>
      <c r="C40" s="1662"/>
      <c r="D40" s="1659"/>
      <c r="E40" s="566"/>
      <c r="F40" s="567" t="s">
        <v>547</v>
      </c>
      <c r="G40" s="568"/>
      <c r="H40" s="569"/>
      <c r="I40" s="569"/>
      <c r="J40" s="281"/>
      <c r="K40" s="1662" t="str">
        <f>IF((LEN(E40)-LEN(SUBSTITUTE(E40,".","")))/LEN(".")=1,"p","")</f>
        <v/>
      </c>
      <c r="L40" s="1662"/>
      <c r="M40" s="1662"/>
      <c r="R40" s="1662"/>
      <c r="U40" s="540"/>
      <c r="AA40" s="1658"/>
      <c r="AB40" s="1658"/>
      <c r="AC40" s="1658"/>
      <c r="AD40" s="1658"/>
      <c r="AE40" s="1658"/>
    </row>
    <row customHeight="1" ht="11.25">
      <c r="A41" s="2191" t="s">
        <v>548</v>
      </c>
      <c r="D41" s="1664"/>
      <c r="E41" s="542" t="str">
        <f>FHD_NUM_P_5</f>
        <v>2.2</v>
      </c>
      <c r="F41" s="1542" t="str">
        <f>FHD_P_5</f>
        <v>Расходы на тепловую энергию, производимую с применением собственных источников и используемую для горячего водоснабжения</v>
      </c>
      <c r="G41" s="1904" t="s">
        <v>530</v>
      </c>
      <c r="H41" s="553"/>
      <c r="I41" s="553"/>
      <c r="J41" s="270" t="str">
        <f>FHD_NOTE_P_5</f>
        <v/>
      </c>
      <c r="K41" s="1662" t="str">
        <f>IF((LEN(E41)-LEN(SUBSTITUTE(E41,".","")))/LEN(".")=1,"p","")</f>
        <v>p</v>
      </c>
    </row>
    <row customHeight="1" ht="11.25">
      <c r="A42" s="2191"/>
      <c r="D42" s="1664"/>
      <c r="E42" s="542" t="str">
        <f>FHD_NUM_P_6</f>
        <v>2.3</v>
      </c>
      <c r="F42" s="1542" t="str">
        <f>FHD_P_6</f>
        <v>Расходы на приобретаемую холодную воду, используемую для горячего водоснабжения</v>
      </c>
      <c r="G42" s="1904" t="s">
        <v>530</v>
      </c>
      <c r="H42" s="553"/>
      <c r="I42" s="553"/>
      <c r="J42" s="270" t="str">
        <f>FHD_NOTE_P_6</f>
        <v/>
      </c>
      <c r="K42" s="1662" t="str">
        <f>IF((LEN(E42)-LEN(SUBSTITUTE(E42,".","")))/LEN(".")=1,"p","")</f>
        <v>p</v>
      </c>
    </row>
    <row customHeight="1" ht="11.25">
      <c r="A43" s="2191"/>
      <c r="D43" s="1664"/>
      <c r="E43" s="542" t="str">
        <f>FHD_NUM_P_7</f>
        <v>2.4</v>
      </c>
      <c r="F43" s="154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04" t="s">
        <v>530</v>
      </c>
      <c r="H43" s="553"/>
      <c r="I43" s="553"/>
      <c r="J43" s="270" t="str">
        <f>FHD_NOTE_P_7</f>
        <v/>
      </c>
      <c r="K43" s="1662" t="str">
        <f>IF((LEN(E43)-LEN(SUBSTITUTE(E43,".","")))/LEN(".")=1,"p","")</f>
        <v>p</v>
      </c>
    </row>
    <row customHeight="1" ht="22.5">
      <c r="D44" s="1664"/>
      <c r="E44" s="542" t="str">
        <f>FHD_NUM_P_8</f>
        <v>2.5</v>
      </c>
      <c r="F44" s="1542" t="str">
        <f>FHD_P_8</f>
        <v>Расходы на приобретаемую электрическую энергию (мощность), используемую в технологическом процессе</v>
      </c>
      <c r="G44" s="1904" t="s">
        <v>530</v>
      </c>
      <c r="H44" s="553"/>
      <c r="I44" s="553"/>
      <c r="J44" s="270" t="str">
        <f>FHD_NOTE_P_8</f>
        <v/>
      </c>
      <c r="K44" s="1662" t="str">
        <f>IF((LEN(E44)-LEN(SUBSTITUTE(E44,".","")))/LEN(".")=1,"p","")</f>
        <v>p</v>
      </c>
    </row>
    <row customHeight="1" ht="22.5">
      <c r="D45" s="1664"/>
      <c r="E45" s="542" t="str">
        <f>FHD_NUM_P_9</f>
        <v>2.5.1</v>
      </c>
      <c r="F45" s="1676" t="str">
        <f>FHD_P_9</f>
        <v>Средневзвешенная стоимость 1 кВт.ч (с учетом мощности)</v>
      </c>
      <c r="G45" s="1904" t="s">
        <v>549</v>
      </c>
      <c r="H45" s="553"/>
      <c r="I45" s="553"/>
      <c r="J45" s="270" t="str">
        <f>FHD_NOTE_P_9</f>
        <v/>
      </c>
      <c r="K45" s="1662" t="str">
        <f>IF((LEN(E45)-LEN(SUBSTITUTE(E45,".","")))/LEN(".")=1,"p","")</f>
        <v/>
      </c>
    </row>
    <row s="1384" customFormat="1" customHeight="1" ht="11.25">
      <c r="A46" s="983"/>
      <c r="C46" s="1662"/>
      <c r="D46" s="570"/>
      <c r="E46" s="542" t="str">
        <f>FHD_NUM_P_10</f>
        <v>2.5.2</v>
      </c>
      <c r="F46" s="1676" t="str">
        <f>FHD_P_10</f>
        <v>Объём приобретения электрической энергии</v>
      </c>
      <c r="G46" s="1904" t="s">
        <v>550</v>
      </c>
      <c r="H46" s="553"/>
      <c r="I46" s="553"/>
      <c r="J46" s="270" t="str">
        <f>FHD_NOTE_P_10</f>
        <v/>
      </c>
      <c r="K46" s="1662" t="str">
        <f>IF((LEN(E46)-LEN(SUBSTITUTE(E46,".","")))/LEN(".")=1,"p","")</f>
        <v/>
      </c>
      <c r="L46" s="1662"/>
      <c r="M46" s="1662"/>
      <c r="R46" s="1662"/>
      <c r="U46" s="540"/>
      <c r="AA46" s="1658"/>
      <c r="AB46" s="1658"/>
      <c r="AC46" s="1658"/>
      <c r="AD46" s="1658"/>
      <c r="AE46" s="1658"/>
    </row>
    <row s="1384" customFormat="1" customHeight="1" ht="11.25" hidden="1">
      <c r="A47" s="985" t="s">
        <v>551</v>
      </c>
      <c r="C47" s="1662"/>
      <c r="D47" s="571"/>
      <c r="E47" s="542" t="str">
        <f>FHD_NUM_P_11</f>
        <v/>
      </c>
      <c r="F47" s="1542" t="str">
        <f>FHD_P_11</f>
        <v/>
      </c>
      <c r="G47" s="1904" t="s">
        <v>530</v>
      </c>
      <c r="H47" s="553"/>
      <c r="I47" s="553"/>
      <c r="J47" s="270" t="str">
        <f>FHD_NOTE_P_11</f>
        <v/>
      </c>
      <c r="K47" s="1662" t="str">
        <f>IF((LEN(E47)-LEN(SUBSTITUTE(E47,".","")))/LEN(".")=1,"p","")</f>
        <v/>
      </c>
      <c r="L47" s="1662"/>
      <c r="M47" s="1662"/>
      <c r="R47" s="1662"/>
      <c r="U47" s="540"/>
      <c r="AA47" s="1658"/>
      <c r="AB47" s="1658"/>
      <c r="AC47" s="1658"/>
      <c r="AD47" s="1658"/>
      <c r="AE47" s="1658"/>
    </row>
    <row s="1384" customFormat="1" customHeight="1" ht="22.5" hidden="1">
      <c r="A48" s="985" t="s">
        <v>552</v>
      </c>
      <c r="C48" s="1662"/>
      <c r="D48" s="1664"/>
      <c r="E48" s="542" t="str">
        <f>FHD_NUM_P_12</f>
        <v/>
      </c>
      <c r="F48" s="1542" t="str">
        <f>FHD_P_12</f>
        <v/>
      </c>
      <c r="G48" s="1904" t="s">
        <v>530</v>
      </c>
      <c r="H48" s="573"/>
      <c r="I48" s="573"/>
      <c r="J48" s="270" t="str">
        <f>FHD_NOTE_P_12</f>
        <v/>
      </c>
      <c r="K48" s="1662" t="str">
        <f>IF((LEN(E48)-LEN(SUBSTITUTE(E48,".","")))/LEN(".")=1,"p","")</f>
        <v/>
      </c>
      <c r="L48" s="1662"/>
      <c r="M48" s="1662"/>
      <c r="R48" s="1662"/>
      <c r="U48" s="540"/>
      <c r="AA48" s="1658"/>
      <c r="AB48" s="1658"/>
      <c r="AC48" s="1658"/>
      <c r="AD48" s="1658"/>
      <c r="AE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530</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2" t="str">
        <f>IF((LEN(E49)-LEN(SUBSTITUTE(E49,".","")))/LEN(".")=1,"p","")</f>
        <v>p</v>
      </c>
      <c r="L49" s="725"/>
      <c r="M49" s="725"/>
      <c r="R49" s="725"/>
      <c r="U49" s="726"/>
      <c r="AA49" s="727"/>
      <c r="AB49" s="727"/>
      <c r="AC49" s="727"/>
      <c r="AD49" s="727"/>
      <c r="AE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530</v>
      </c>
      <c r="H50" s="553"/>
      <c r="I50" s="553"/>
      <c r="J50" s="270" t="str">
        <f>FHD_NOTE_P_14</f>
        <v/>
      </c>
      <c r="K50" s="1662" t="str">
        <f>IF((LEN(E50)-LEN(SUBSTITUTE(E50,".","")))/LEN(".")=1,"p","")</f>
        <v/>
      </c>
      <c r="L50" s="725"/>
      <c r="M50" s="725"/>
      <c r="R50" s="725"/>
      <c r="U50" s="726"/>
      <c r="AA50" s="727"/>
      <c r="AB50" s="727"/>
      <c r="AC50" s="727"/>
      <c r="AD50" s="727"/>
      <c r="AE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530</v>
      </c>
      <c r="H51" s="553"/>
      <c r="I51" s="553"/>
      <c r="J51" s="270" t="str">
        <f>FHD_NOTE_P_15</f>
        <v/>
      </c>
      <c r="K51" s="1662" t="str">
        <f>IF((LEN(E51)-LEN(SUBSTITUTE(E51,".","")))/LEN(".")=1,"p","")</f>
        <v/>
      </c>
      <c r="L51" s="725"/>
      <c r="M51" s="725"/>
      <c r="R51" s="725"/>
      <c r="U51" s="726"/>
      <c r="AA51" s="727"/>
      <c r="AB51" s="727"/>
      <c r="AC51" s="727"/>
      <c r="AD51" s="727"/>
      <c r="AE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530</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2" t="str">
        <f>IF((LEN(E52)-LEN(SUBSTITUTE(E52,".","")))/LEN(".")=1,"p","")</f>
        <v>p</v>
      </c>
      <c r="L52" s="1662"/>
      <c r="M52" s="1668"/>
      <c r="N52" s="533"/>
      <c r="O52" s="533"/>
      <c r="R52" s="1662"/>
      <c r="U52" s="540"/>
      <c r="AA52" s="1658"/>
      <c r="AB52" s="1658"/>
      <c r="AC52" s="1658"/>
      <c r="AD52" s="1658"/>
      <c r="AE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530</v>
      </c>
      <c r="H53" s="553"/>
      <c r="I53" s="553"/>
      <c r="J53" s="270" t="str">
        <f>FHD_NOTE_P_17</f>
        <v/>
      </c>
      <c r="K53" s="1662" t="str">
        <f>IF((LEN(E53)-LEN(SUBSTITUTE(E53,".","")))/LEN(".")=1,"p","")</f>
        <v/>
      </c>
      <c r="L53" s="1662"/>
      <c r="M53" s="1668"/>
      <c r="N53" s="533"/>
      <c r="O53" s="533"/>
      <c r="R53" s="1662"/>
      <c r="U53" s="540"/>
      <c r="AA53" s="1658"/>
      <c r="AB53" s="1658"/>
      <c r="AC53" s="1658"/>
      <c r="AD53" s="1658"/>
      <c r="AE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530</v>
      </c>
      <c r="H54" s="553"/>
      <c r="I54" s="553"/>
      <c r="J54" s="270" t="str">
        <f>FHD_NOTE_P_18</f>
        <v/>
      </c>
      <c r="K54" s="1662" t="str">
        <f>IF((LEN(E54)-LEN(SUBSTITUTE(E54,".","")))/LEN(".")=1,"p","")</f>
        <v/>
      </c>
      <c r="L54" s="1662"/>
      <c r="M54" s="1668"/>
      <c r="N54" s="533"/>
      <c r="O54" s="533"/>
      <c r="R54" s="1662"/>
      <c r="U54" s="540"/>
      <c r="AA54" s="1658"/>
      <c r="AB54" s="1658"/>
      <c r="AC54" s="1658"/>
      <c r="AD54" s="1658"/>
      <c r="AE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530</v>
      </c>
      <c r="H55" s="553"/>
      <c r="I55" s="553"/>
      <c r="J55" s="270" t="str">
        <f>FHD_NOTE_P_19</f>
        <v/>
      </c>
      <c r="K55" s="1662" t="str">
        <f>IF((LEN(E55)-LEN(SUBSTITUTE(E55,".","")))/LEN(".")=1,"p","")</f>
        <v>p</v>
      </c>
      <c r="L55" s="1662"/>
      <c r="M55" s="1662"/>
      <c r="R55" s="1662"/>
      <c r="U55" s="540"/>
      <c r="AA55" s="1658"/>
      <c r="AB55" s="1658"/>
      <c r="AC55" s="1658"/>
      <c r="AD55" s="1658"/>
      <c r="AE55" s="1658"/>
    </row>
    <row s="1384" customFormat="1" customHeight="1" ht="11.25">
      <c r="A56" s="983"/>
      <c r="C56" s="1662"/>
      <c r="D56" s="571"/>
      <c r="E56" s="542" t="str">
        <f>FHD_NUM_P_20</f>
        <v>2.8.1</v>
      </c>
      <c r="F56" s="1676" t="str">
        <f>FHD_P_20</f>
        <v>Расходы на амортизацию основных средств</v>
      </c>
      <c r="G56" s="1904" t="s">
        <v>530</v>
      </c>
      <c r="H56" s="553"/>
      <c r="I56" s="553"/>
      <c r="J56" s="270" t="str">
        <f>FHD_NOTE_P_20</f>
        <v/>
      </c>
      <c r="K56" s="1662" t="str">
        <f>IF((LEN(E56)-LEN(SUBSTITUTE(E56,".","")))/LEN(".")=1,"p","")</f>
        <v/>
      </c>
      <c r="L56" s="1662"/>
      <c r="M56" s="1662"/>
      <c r="R56" s="1662"/>
      <c r="U56" s="540"/>
      <c r="AA56" s="1658"/>
      <c r="AB56" s="1658"/>
      <c r="AC56" s="1658"/>
      <c r="AD56" s="1658"/>
      <c r="AE56" s="1658"/>
    </row>
    <row s="1384" customFormat="1" customHeight="1" ht="11.25">
      <c r="A57" s="983"/>
      <c r="C57" s="1662"/>
      <c r="D57" s="571"/>
      <c r="E57" s="542" t="str">
        <f>FHD_NUM_P_21</f>
        <v>2.8.2</v>
      </c>
      <c r="F57" s="1676" t="str">
        <f>FHD_P_21</f>
        <v>Расходы на амортизацию нематериальных активов</v>
      </c>
      <c r="G57" s="1904" t="s">
        <v>530</v>
      </c>
      <c r="H57" s="553"/>
      <c r="I57" s="553"/>
      <c r="J57" s="270" t="str">
        <f>FHD_NOTE_P_21</f>
        <v/>
      </c>
      <c r="K57" s="1662" t="str">
        <f>IF((LEN(E57)-LEN(SUBSTITUTE(E57,".","")))/LEN(".")=1,"p","")</f>
        <v/>
      </c>
      <c r="L57" s="1662"/>
      <c r="M57" s="1662"/>
      <c r="R57" s="1662"/>
      <c r="U57" s="540"/>
      <c r="AA57" s="1658"/>
      <c r="AB57" s="1658"/>
      <c r="AC57" s="1658"/>
      <c r="AD57" s="1658"/>
      <c r="AE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регулируемых видов деятельности в сфере горячего водоснабжения</v>
      </c>
      <c r="G58" s="1904" t="s">
        <v>530</v>
      </c>
      <c r="H58" s="553"/>
      <c r="I58" s="553"/>
      <c r="J58" s="270" t="str">
        <f>FHD_NOTE_P_22</f>
        <v/>
      </c>
      <c r="K58" s="1662" t="str">
        <f>IF((LEN(E58)-LEN(SUBSTITUTE(E58,".","")))/LEN(".")=1,"p","")</f>
        <v>p</v>
      </c>
      <c r="L58" s="1662"/>
      <c r="M58" s="1662"/>
      <c r="R58" s="1662"/>
      <c r="U58" s="540"/>
      <c r="AA58" s="1658"/>
      <c r="AB58" s="1658"/>
      <c r="AC58" s="1658"/>
      <c r="AD58" s="1658"/>
      <c r="AE58" s="1658"/>
    </row>
    <row s="1384" customFormat="1" customHeight="1" ht="11.25">
      <c r="A59" s="983"/>
      <c r="C59" s="1662"/>
      <c r="D59" s="571"/>
      <c r="E59" s="542" t="str">
        <f>FHD_NUM_P_23</f>
        <v>2.10</v>
      </c>
      <c r="F59" s="1542" t="str">
        <f>FHD_P_23</f>
        <v>Общепроизводственные расходы, в том числе:</v>
      </c>
      <c r="G59" s="1904" t="s">
        <v>530</v>
      </c>
      <c r="H59" s="553"/>
      <c r="I59" s="553"/>
      <c r="J59" s="270" t="str">
        <f>FHD_NOTE_P_23</f>
        <v>Указывается общая сумма общепроизводственных расходов.</v>
      </c>
      <c r="K59" s="1662" t="str">
        <f>IF((LEN(E59)-LEN(SUBSTITUTE(E59,".","")))/LEN(".")=1,"p","")</f>
        <v>p</v>
      </c>
      <c r="L59" s="1662"/>
      <c r="M59" s="1662"/>
      <c r="R59" s="1662"/>
      <c r="U59" s="540"/>
      <c r="AA59" s="1658"/>
      <c r="AB59" s="1658"/>
      <c r="AC59" s="1658"/>
      <c r="AD59" s="1658"/>
      <c r="AE59" s="1658"/>
    </row>
    <row s="1384" customFormat="1" customHeight="1" ht="11.25">
      <c r="A60" s="983"/>
      <c r="C60" s="1662"/>
      <c r="D60" s="571"/>
      <c r="E60" s="542" t="str">
        <f>FHD_NUM_P_24</f>
        <v>2.10.1</v>
      </c>
      <c r="F60" s="1676" t="str">
        <f>FHD_P_24</f>
        <v>Расходы на текущий ремонт</v>
      </c>
      <c r="G60" s="1904" t="s">
        <v>530</v>
      </c>
      <c r="H60" s="553"/>
      <c r="I60" s="553"/>
      <c r="J60" s="270" t="str">
        <f>FHD_NOTE_P_24</f>
        <v>Указываются расходы на текущий ремонт, отнесенные к общепроизводственным расходам.</v>
      </c>
      <c r="K60" s="1662" t="str">
        <f>IF((LEN(E60)-LEN(SUBSTITUTE(E60,".","")))/LEN(".")=1,"p","")</f>
        <v/>
      </c>
      <c r="L60" s="1662"/>
      <c r="M60" s="1662"/>
      <c r="R60" s="1662"/>
      <c r="U60" s="540"/>
      <c r="AA60" s="1658"/>
      <c r="AB60" s="1658"/>
      <c r="AC60" s="1658"/>
      <c r="AD60" s="1658"/>
      <c r="AE60" s="1658"/>
    </row>
    <row s="1384" customFormat="1" customHeight="1" ht="11.25">
      <c r="A61" s="983"/>
      <c r="C61" s="1662"/>
      <c r="D61" s="571"/>
      <c r="E61" s="542" t="str">
        <f>FHD_NUM_P_25</f>
        <v>2.10.2</v>
      </c>
      <c r="F61" s="1676" t="str">
        <f>FHD_P_25</f>
        <v>Расходы на капитальный ремонт</v>
      </c>
      <c r="G61" s="1904" t="s">
        <v>530</v>
      </c>
      <c r="H61" s="553"/>
      <c r="I61" s="553"/>
      <c r="J61" s="270" t="str">
        <f>FHD_NOTE_P_25</f>
        <v>Указываются расходы на капитальный ремонт, отнесенные к общепроизводственным расходам.</v>
      </c>
      <c r="K61" s="1662" t="str">
        <f>IF((LEN(E61)-LEN(SUBSTITUTE(E61,".","")))/LEN(".")=1,"p","")</f>
        <v/>
      </c>
      <c r="L61" s="1662"/>
      <c r="M61" s="1662"/>
      <c r="R61" s="1662"/>
      <c r="U61" s="540"/>
      <c r="AA61" s="1658"/>
      <c r="AB61" s="1658"/>
      <c r="AC61" s="1658"/>
      <c r="AD61" s="1658"/>
      <c r="AE61" s="1658"/>
    </row>
    <row s="1384" customFormat="1" customHeight="1" ht="11.25">
      <c r="A62" s="983"/>
      <c r="C62" s="1662"/>
      <c r="D62" s="1664"/>
      <c r="E62" s="542" t="str">
        <f>FHD_NUM_P_26</f>
        <v>2.11</v>
      </c>
      <c r="F62" s="1542" t="str">
        <f>FHD_P_26</f>
        <v>Общехозяйственные расходы, в том числе:</v>
      </c>
      <c r="G62" s="1904" t="s">
        <v>530</v>
      </c>
      <c r="H62" s="553"/>
      <c r="I62" s="553"/>
      <c r="J62" s="270" t="str">
        <f>FHD_NOTE_P_26</f>
        <v>Указывается общая сумма общехозяйственных расходов.</v>
      </c>
      <c r="K62" s="1662" t="str">
        <f>IF((LEN(E62)-LEN(SUBSTITUTE(E62,".","")))/LEN(".")=1,"p","")</f>
        <v>p</v>
      </c>
      <c r="L62" s="1662"/>
      <c r="M62" s="1662"/>
      <c r="R62" s="1662"/>
      <c r="U62" s="540"/>
      <c r="AA62" s="1658"/>
      <c r="AB62" s="1658"/>
      <c r="AC62" s="1658"/>
      <c r="AD62" s="1658"/>
      <c r="AE62" s="1658"/>
    </row>
    <row s="1384" customFormat="1" customHeight="1" ht="11.25">
      <c r="A63" s="983"/>
      <c r="C63" s="1662"/>
      <c r="D63" s="1664"/>
      <c r="E63" s="542" t="str">
        <f>FHD_NUM_P_27</f>
        <v>2.11.1</v>
      </c>
      <c r="F63" s="1676" t="str">
        <f>FHD_P_27</f>
        <v>Расходы на текущий ремонт</v>
      </c>
      <c r="G63" s="1904" t="s">
        <v>530</v>
      </c>
      <c r="H63" s="553"/>
      <c r="I63" s="553"/>
      <c r="J63" s="270" t="str">
        <f>FHD_NOTE_P_27</f>
        <v>Указываются расходы на текущий ремонт, отнесенные к общехозяйственным расходам.</v>
      </c>
      <c r="K63" s="1662" t="str">
        <f>IF((LEN(E63)-LEN(SUBSTITUTE(E63,".","")))/LEN(".")=1,"p","")</f>
        <v/>
      </c>
      <c r="L63" s="1662"/>
      <c r="M63" s="1662"/>
      <c r="R63" s="1662"/>
      <c r="U63" s="540"/>
      <c r="AA63" s="1658"/>
      <c r="AB63" s="1658"/>
      <c r="AC63" s="1658"/>
      <c r="AD63" s="1658"/>
      <c r="AE63" s="1658"/>
    </row>
    <row s="1384" customFormat="1" customHeight="1" ht="11.25">
      <c r="A64" s="983"/>
      <c r="C64" s="1662"/>
      <c r="D64" s="1664"/>
      <c r="E64" s="542" t="str">
        <f>FHD_NUM_P_28</f>
        <v>2.11.2</v>
      </c>
      <c r="F64" s="1676" t="str">
        <f>FHD_P_28</f>
        <v>Расходы на капитальный ремонт</v>
      </c>
      <c r="G64" s="1904" t="s">
        <v>530</v>
      </c>
      <c r="H64" s="553"/>
      <c r="I64" s="553"/>
      <c r="J64" s="270" t="str">
        <f>FHD_NOTE_P_28</f>
        <v>Указываются расходы на капитальный ремонт, отнесенные к общехозяйственным расходам.</v>
      </c>
      <c r="K64" s="1662" t="str">
        <f>IF((LEN(E64)-LEN(SUBSTITUTE(E64,".","")))/LEN(".")=1,"p","")</f>
        <v/>
      </c>
      <c r="L64" s="1662"/>
      <c r="M64" s="1662"/>
      <c r="R64" s="1662"/>
      <c r="U64" s="540"/>
      <c r="AA64" s="1658"/>
      <c r="AB64" s="1658"/>
      <c r="AC64" s="1658"/>
      <c r="AD64" s="1658"/>
      <c r="AE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530</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2" t="str">
        <f>IF((LEN(E65)-LEN(SUBSTITUTE(E65,".","")))/LEN(".")=1,"p","")</f>
        <v>p</v>
      </c>
      <c r="L65" s="1662"/>
      <c r="M65" s="1662"/>
      <c r="R65" s="1662"/>
      <c r="U65" s="540"/>
      <c r="AA65" s="1658"/>
      <c r="AB65" s="1658"/>
      <c r="AC65" s="1658"/>
      <c r="AD65" s="1658"/>
      <c r="AE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290</v>
      </c>
      <c r="H66" s="1675" t="s">
        <v>553</v>
      </c>
      <c r="I66" s="1675" t="s">
        <v>553</v>
      </c>
      <c r="J66" s="270" t="str">
        <f>FHD_NOTE_P_30</f>
        <v/>
      </c>
      <c r="K66" s="1662" t="str">
        <f>IF((LEN(E66)-LEN(SUBSTITUTE(E66,".","")))/LEN(".")=1,"p","")</f>
        <v/>
      </c>
      <c r="L66" s="1662">
        <f>_xlfn.IFERROR(MATCH("есть",B_FHD_FLAG_INDEX_1,0),0)</f>
        <v>0</v>
      </c>
      <c r="M66" s="1662"/>
      <c r="R66" s="1662"/>
      <c r="U66" s="540"/>
      <c r="AA66" s="1658"/>
      <c r="AB66" s="1658"/>
      <c r="AC66" s="1658"/>
      <c r="AD66" s="1658"/>
      <c r="AE66" s="1658"/>
    </row>
    <row s="1384" customFormat="1" customHeight="1" ht="22.5">
      <c r="A67" s="2191" t="s">
        <v>554</v>
      </c>
      <c r="C67" s="1662"/>
      <c r="D67" s="1664"/>
      <c r="E67" s="542" t="str">
        <f>FHD_NUM_P_31</f>
        <v>2.13</v>
      </c>
      <c r="F67" s="154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04" t="s">
        <v>530</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2" t="str">
        <f>IF((LEN(E67)-LEN(SUBSTITUTE(E67,".","")))/LEN(".")=1,"p","")</f>
        <v>p</v>
      </c>
      <c r="L67" s="1662"/>
      <c r="M67" s="1662"/>
      <c r="R67" s="1662"/>
      <c r="U67" s="540"/>
      <c r="AA67" s="1658"/>
      <c r="AB67" s="1658"/>
      <c r="AC67" s="1658"/>
      <c r="AD67" s="1658"/>
      <c r="AE67" s="1658"/>
    </row>
    <row s="1384" customFormat="1" customHeight="1" ht="45">
      <c r="A68" s="2191"/>
      <c r="C68" s="1662"/>
      <c r="D68" s="1664"/>
      <c r="E68" s="542" t="str">
        <f>FHD_NUM_P_32</f>
        <v>2.13.1</v>
      </c>
      <c r="F68" s="16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4" t="s">
        <v>290</v>
      </c>
      <c r="H68" s="1675" t="s">
        <v>553</v>
      </c>
      <c r="I68" s="1675" t="s">
        <v>553</v>
      </c>
      <c r="J68" s="270" t="str">
        <f>FHD_NOTE_P_32</f>
        <v/>
      </c>
      <c r="K68" s="1662" t="str">
        <f>IF((LEN(E68)-LEN(SUBSTITUTE(E68,".","")))/LEN(".")=1,"p","")</f>
        <v/>
      </c>
      <c r="L68" s="1662">
        <f>_xlfn.IFERROR(MATCH("есть",B_FHD_FLAG_INDEX_2,0),0)</f>
        <v>0</v>
      </c>
      <c r="M68" s="1662"/>
      <c r="R68" s="1662"/>
      <c r="U68" s="540"/>
      <c r="AA68" s="1658"/>
      <c r="AB68" s="1658"/>
      <c r="AC68" s="1658"/>
      <c r="AD68" s="1658"/>
      <c r="AE68" s="1658"/>
    </row>
    <row s="1384" customFormat="1" customHeight="1" ht="33.75">
      <c r="A69" s="983"/>
      <c r="C69" s="1662"/>
      <c r="D69" s="1664"/>
      <c r="E69" s="542" t="str">
        <f>FHD_NUM_P_33</f>
        <v>2.14</v>
      </c>
      <c r="F69" s="154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05" t="s">
        <v>530</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2" t="str">
        <f>IF((LEN(E69)-LEN(SUBSTITUTE(E69,".","")))/LEN(".")=1,"p","")</f>
        <v>p</v>
      </c>
      <c r="L69" s="1662"/>
      <c r="M69" s="1662"/>
      <c r="R69" s="1662"/>
      <c r="U69" s="540"/>
      <c r="AA69" s="1658"/>
      <c r="AB69" s="1658"/>
      <c r="AC69" s="1658"/>
      <c r="AD69" s="1658"/>
      <c r="AE69" s="1658"/>
    </row>
    <row s="1668" customFormat="1" customHeight="1" ht="0.75">
      <c r="A70" s="1163"/>
      <c r="D70" s="544"/>
      <c r="E70" s="1009" t="str">
        <f>E69&amp;".0"</f>
        <v>2.14.0</v>
      </c>
      <c r="F70" s="987"/>
      <c r="G70" s="1009"/>
      <c r="H70" s="988"/>
      <c r="I70" s="988"/>
      <c r="J70" s="989"/>
      <c r="K70" s="1662" t="str">
        <f>IF((LEN(E70)-LEN(SUBSTITUTE(E70,".","")))/LEN(".")=1,"p","")</f>
        <v/>
      </c>
    </row>
    <row s="1384" customFormat="1" customHeight="1" ht="14.25">
      <c r="A71" s="983"/>
      <c r="C71" s="1662"/>
      <c r="D71" s="1659"/>
      <c r="E71" s="566"/>
      <c r="F71" s="567" t="s">
        <v>555</v>
      </c>
      <c r="G71" s="568"/>
      <c r="H71" s="569"/>
      <c r="I71" s="569"/>
      <c r="J71" s="281"/>
      <c r="K71" s="1662"/>
      <c r="L71" s="1662"/>
      <c r="M71" s="1662"/>
      <c r="R71" s="1662"/>
      <c r="U71" s="540"/>
      <c r="AA71" s="1658"/>
      <c r="AB71" s="1658"/>
      <c r="AC71" s="1658"/>
      <c r="AD71" s="1658"/>
      <c r="AE71" s="1658"/>
    </row>
    <row s="1384" customFormat="1" customHeight="1" ht="18.75" hidden="1">
      <c r="A72" s="985" t="s">
        <v>556</v>
      </c>
      <c r="C72" s="1662"/>
      <c r="D72" s="1664"/>
      <c r="E72" s="542" t="str">
        <f>FHD_NUM_P_34</f>
        <v/>
      </c>
      <c r="F72" s="1906" t="str">
        <f>FHD_P_34</f>
        <v/>
      </c>
      <c r="G72" s="1904" t="s">
        <v>530</v>
      </c>
      <c r="H72" s="553"/>
      <c r="I72" s="553"/>
      <c r="J72" s="270" t="str">
        <f>FHD_NOTE_P_34</f>
        <v/>
      </c>
      <c r="K72" s="539"/>
      <c r="L72" s="1662"/>
      <c r="M72" s="1662"/>
      <c r="R72" s="1662"/>
      <c r="U72" s="540"/>
      <c r="AA72" s="1658"/>
      <c r="AB72" s="1658"/>
      <c r="AC72" s="1658"/>
      <c r="AD72" s="1658"/>
      <c r="AE72" s="1658"/>
    </row>
    <row s="1384" customFormat="1" customHeight="1" ht="22.5">
      <c r="A73" s="983"/>
      <c r="C73" s="1662"/>
      <c r="D73" s="571"/>
      <c r="E73" s="542" t="str">
        <f>FHD_NUM_P_35</f>
        <v>3</v>
      </c>
      <c r="F73" s="1906" t="str">
        <f>FHD_P_35</f>
        <v>Чистая прибыль, полученная от регулируемого вида деятельности в сфере горячего водоснабжения, в том числе:</v>
      </c>
      <c r="G73" s="1904" t="s">
        <v>530</v>
      </c>
      <c r="H73" s="553"/>
      <c r="I73" s="553"/>
      <c r="J73" s="270" t="str">
        <f>FHD_NOTE_P_35</f>
        <v>Указывается общая сумма чистой прибыли, полученной от регулируемого вида деятельности.</v>
      </c>
      <c r="K73" s="539"/>
      <c r="L73" s="1662"/>
      <c r="M73" s="1662"/>
      <c r="R73" s="1662"/>
      <c r="U73" s="540"/>
      <c r="AA73" s="1658"/>
      <c r="AB73" s="1658"/>
      <c r="AC73" s="1658"/>
      <c r="AD73" s="1658"/>
      <c r="AE73" s="1658"/>
    </row>
    <row s="1384" customFormat="1" customHeight="1" ht="33.75">
      <c r="A74" s="983"/>
      <c r="C74" s="1662"/>
      <c r="D74" s="1664"/>
      <c r="E74" s="542" t="str">
        <f>FHD_NUM_P_36</f>
        <v>3.1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530</v>
      </c>
      <c r="H74" s="553"/>
      <c r="I74" s="553"/>
      <c r="J74" s="270" t="str">
        <f>FHD_NOTE_P_36</f>
        <v/>
      </c>
      <c r="K74" s="539"/>
      <c r="L74" s="1662"/>
      <c r="M74" s="1662"/>
      <c r="R74" s="1662"/>
      <c r="U74" s="540"/>
      <c r="AA74" s="1658"/>
      <c r="AB74" s="1658"/>
      <c r="AC74" s="1658"/>
      <c r="AD74" s="1658"/>
      <c r="AE74" s="1658"/>
    </row>
    <row s="1384" customFormat="1" customHeight="1" ht="18.75">
      <c r="A75" s="983"/>
      <c r="C75" s="1662"/>
      <c r="D75" s="1664"/>
      <c r="E75" s="542" t="str">
        <f>FHD_NUM_P_37</f>
        <v>4</v>
      </c>
      <c r="F75" s="1906" t="str">
        <f>FHD_P_37</f>
        <v>Изменение стоимости основных фондов, в том числе:</v>
      </c>
      <c r="G75" s="1904" t="s">
        <v>530</v>
      </c>
      <c r="H75" s="553"/>
      <c r="I75" s="553"/>
      <c r="J75" s="270" t="str">
        <f>FHD_NOTE_P_37</f>
        <v>Указывается общее изменение стоимости основных фондов.</v>
      </c>
      <c r="K75" s="539"/>
      <c r="L75" s="1662"/>
      <c r="M75" s="1662"/>
      <c r="R75" s="1662"/>
      <c r="U75" s="540"/>
      <c r="AA75" s="1658"/>
      <c r="AB75" s="1658"/>
      <c r="AC75" s="1658"/>
      <c r="AD75" s="1658"/>
      <c r="AE75" s="1658"/>
    </row>
    <row s="1384" customFormat="1" customHeight="1" ht="18.75">
      <c r="A76" s="983"/>
      <c r="C76" s="1662"/>
      <c r="D76" s="1664"/>
      <c r="E76" s="542" t="str">
        <f>FHD_NUM_P_38</f>
        <v>4.1</v>
      </c>
      <c r="F76" s="1542" t="str">
        <f>FHD_P_38</f>
        <v>Изменение стоимости основных фондов за счет их ввода в эксплуатацию (вывода из эксплуатации)</v>
      </c>
      <c r="G76" s="1904" t="s">
        <v>530</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2"/>
      <c r="M76" s="1662"/>
      <c r="R76" s="1662"/>
      <c r="U76" s="540"/>
      <c r="AA76" s="1658"/>
      <c r="AB76" s="1658"/>
      <c r="AC76" s="1658"/>
      <c r="AD76" s="1658"/>
      <c r="AE76" s="1658"/>
    </row>
    <row s="1384" customFormat="1" customHeight="1" ht="22.5">
      <c r="A77" s="983"/>
      <c r="C77" s="1662"/>
      <c r="D77" s="1664"/>
      <c r="E77" s="542" t="str">
        <f>FHD_NUM_P_39</f>
        <v>4.1.1</v>
      </c>
      <c r="F77" s="1676" t="str">
        <f>FHD_P_39</f>
        <v>Изменение стоимости основных фондов за счет их ввода в эксплуатацию</v>
      </c>
      <c r="G77" s="1904" t="s">
        <v>530</v>
      </c>
      <c r="H77" s="553"/>
      <c r="I77" s="553"/>
      <c r="J77" s="270" t="str">
        <f>FHD_NOTE_P_39</f>
        <v>Указываются изменение стоимости основных фондов за счет их ввода в эксплуатацию.</v>
      </c>
      <c r="K77" s="539"/>
      <c r="L77" s="1662"/>
      <c r="M77" s="1662"/>
      <c r="R77" s="1662"/>
      <c r="U77" s="540"/>
      <c r="AA77" s="1658"/>
      <c r="AB77" s="1658"/>
      <c r="AC77" s="1658"/>
      <c r="AD77" s="1658"/>
      <c r="AE77" s="1658"/>
    </row>
    <row s="1384" customFormat="1" customHeight="1" ht="22.5">
      <c r="A78" s="983"/>
      <c r="C78" s="1662"/>
      <c r="D78" s="1664"/>
      <c r="E78" s="542" t="str">
        <f>FHD_NUM_P_40</f>
        <v>4.1.2</v>
      </c>
      <c r="F78" s="1676" t="str">
        <f>FHD_P_40</f>
        <v>Изменение стоимости основных фондов за счет их вывода в эксплуатацию</v>
      </c>
      <c r="G78" s="1904" t="s">
        <v>530</v>
      </c>
      <c r="H78" s="553"/>
      <c r="I78" s="553"/>
      <c r="J78" s="270" t="str">
        <f>FHD_NOTE_P_40</f>
        <v>Указываются изменение стоимости основных фондов за счет их вывода из эксплуатации.</v>
      </c>
      <c r="K78" s="539"/>
      <c r="L78" s="1662"/>
      <c r="M78" s="1662"/>
      <c r="R78" s="1662"/>
      <c r="U78" s="540"/>
      <c r="AA78" s="1658"/>
      <c r="AB78" s="1658"/>
      <c r="AC78" s="1658"/>
      <c r="AD78" s="1658"/>
      <c r="AE78" s="1658"/>
    </row>
    <row s="1384" customFormat="1" customHeight="1" ht="22.5">
      <c r="A79" s="983"/>
      <c r="C79" s="1662"/>
      <c r="D79" s="1664"/>
      <c r="E79" s="542" t="str">
        <f>FHD_NUM_P_41</f>
        <v>4.2</v>
      </c>
      <c r="F79" s="1542" t="str">
        <f>FHD_P_41</f>
        <v>Изменение стоимости основных фондов за счет их переоценки</v>
      </c>
      <c r="G79" s="1905" t="s">
        <v>530</v>
      </c>
      <c r="H79" s="553"/>
      <c r="I79" s="553"/>
      <c r="J79" s="270" t="str">
        <f>FHD_NOTE_P_41</f>
        <v/>
      </c>
      <c r="K79" s="539"/>
      <c r="L79" s="1662"/>
      <c r="M79" s="1662"/>
      <c r="R79" s="1662"/>
      <c r="U79" s="540"/>
      <c r="AA79" s="1658"/>
      <c r="AB79" s="1658"/>
      <c r="AC79" s="1658"/>
      <c r="AD79" s="1658"/>
      <c r="AE79" s="1658"/>
    </row>
    <row s="1384" customFormat="1" customHeight="1" ht="18.75">
      <c r="A80" s="985" t="s">
        <v>557</v>
      </c>
      <c r="C80" s="1662"/>
      <c r="D80" s="1664"/>
      <c r="E80" s="542" t="str">
        <f>FHD_NUM_P_42</f>
        <v>5</v>
      </c>
      <c r="F80" s="1906" t="str">
        <f>FHD_P_42</f>
        <v>Валовая прибыль (убытки) от продажи товаров и услуг по регулируемым видам деятельности в сфере горячего водоснабжения</v>
      </c>
      <c r="G80" s="1904" t="s">
        <v>530</v>
      </c>
      <c r="H80" s="972"/>
      <c r="I80" s="553"/>
      <c r="J80" s="270" t="str">
        <f>FHD_NOTE_P_42</f>
        <v/>
      </c>
      <c r="K80" s="539"/>
      <c r="L80" s="1662"/>
      <c r="M80" s="1662"/>
      <c r="R80" s="1662"/>
      <c r="U80" s="540"/>
      <c r="AA80" s="1658"/>
      <c r="AB80" s="1658"/>
      <c r="AC80" s="1658"/>
      <c r="AD80" s="1658"/>
      <c r="AE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290</v>
      </c>
      <c r="H81" s="1051"/>
      <c r="I81" s="813"/>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39"/>
      <c r="L81" s="1662"/>
      <c r="M81" s="1662"/>
      <c r="R81" s="1662"/>
      <c r="U81" s="540"/>
      <c r="AA81" s="1658"/>
      <c r="AB81" s="1658"/>
      <c r="AC81" s="1658"/>
      <c r="AD81" s="1658"/>
      <c r="AE81" s="1658"/>
    </row>
    <row s="1384" customFormat="1" customHeight="1" ht="18.75" hidden="1">
      <c r="A82" s="2191" t="s">
        <v>558</v>
      </c>
      <c r="C82" s="730"/>
      <c r="D82" s="728"/>
      <c r="E82" s="542" t="str">
        <f>FHD_NUM_P_44</f>
        <v/>
      </c>
      <c r="F82" s="1906" t="str">
        <f>FHD_P_44</f>
        <v/>
      </c>
      <c r="G82" s="1907" t="s">
        <v>559</v>
      </c>
      <c r="H82" s="973"/>
      <c r="I82" s="573"/>
      <c r="J82" s="270" t="str">
        <f>FHD_NOTE_P_44</f>
        <v/>
      </c>
      <c r="K82" s="729"/>
      <c r="L82" s="730"/>
      <c r="M82" s="730"/>
      <c r="R82" s="730"/>
      <c r="U82" s="731"/>
      <c r="AA82" s="732"/>
      <c r="AB82" s="732"/>
      <c r="AC82" s="732"/>
      <c r="AD82" s="732"/>
      <c r="AE82" s="732"/>
    </row>
    <row s="1384" customFormat="1" customHeight="1" ht="18.75" hidden="1">
      <c r="A83" s="2191"/>
      <c r="C83" s="730"/>
      <c r="D83" s="728"/>
      <c r="E83" s="542" t="str">
        <f>FHD_NUM_P_45</f>
        <v/>
      </c>
      <c r="F83" s="1906" t="str">
        <f>FHD_P_45</f>
        <v/>
      </c>
      <c r="G83" s="1907" t="s">
        <v>559</v>
      </c>
      <c r="H83" s="973"/>
      <c r="I83" s="573"/>
      <c r="J83" s="270" t="str">
        <f>FHD_NOTE_P_45</f>
        <v/>
      </c>
      <c r="K83" s="729"/>
      <c r="L83" s="730"/>
      <c r="M83" s="730"/>
      <c r="R83" s="730"/>
      <c r="U83" s="731"/>
      <c r="AA83" s="732"/>
      <c r="AB83" s="732"/>
      <c r="AC83" s="732"/>
      <c r="AD83" s="732"/>
      <c r="AE83" s="732"/>
    </row>
    <row s="1384" customFormat="1" customHeight="1" ht="18.75" hidden="1">
      <c r="A84" s="2191"/>
      <c r="C84" s="730"/>
      <c r="D84" s="733"/>
      <c r="E84" s="542" t="str">
        <f>FHD_NUM_P_46</f>
        <v/>
      </c>
      <c r="F84" s="1906" t="str">
        <f>FHD_P_46</f>
        <v/>
      </c>
      <c r="G84" s="1907" t="s">
        <v>559</v>
      </c>
      <c r="H84" s="973"/>
      <c r="I84" s="573"/>
      <c r="J84" s="270" t="str">
        <f>FHD_NOTE_P_46</f>
        <v/>
      </c>
      <c r="K84" s="729"/>
      <c r="L84" s="730"/>
      <c r="M84" s="730"/>
      <c r="R84" s="730"/>
      <c r="U84" s="731"/>
      <c r="AA84" s="732"/>
      <c r="AB84" s="732"/>
      <c r="AC84" s="732"/>
      <c r="AD84" s="732"/>
      <c r="AE84" s="732"/>
    </row>
    <row s="1384" customFormat="1" customHeight="1" ht="18.75" hidden="1">
      <c r="A85" s="2191"/>
      <c r="C85" s="730"/>
      <c r="D85" s="728"/>
      <c r="E85" s="542" t="str">
        <f>FHD_NUM_P_47</f>
        <v/>
      </c>
      <c r="F85" s="1906" t="str">
        <f>FHD_P_47</f>
        <v/>
      </c>
      <c r="G85" s="1907" t="s">
        <v>559</v>
      </c>
      <c r="H85" s="973"/>
      <c r="I85" s="573"/>
      <c r="J85" s="270" t="str">
        <f>FHD_NOTE_P_47</f>
        <v/>
      </c>
      <c r="K85" s="729"/>
      <c r="L85" s="730"/>
      <c r="M85" s="730"/>
      <c r="R85" s="730"/>
      <c r="U85" s="731"/>
      <c r="AA85" s="732"/>
      <c r="AB85" s="732"/>
      <c r="AC85" s="732"/>
      <c r="AD85" s="732"/>
      <c r="AE85" s="732"/>
    </row>
    <row s="1661" customFormat="1" customHeight="1" ht="18.75" hidden="1">
      <c r="A86" s="2191"/>
      <c r="B86" s="905"/>
      <c r="C86" s="730"/>
      <c r="D86" s="728"/>
      <c r="E86" s="542" t="str">
        <f>FHD_NUM_P_48</f>
        <v/>
      </c>
      <c r="F86" s="1906" t="str">
        <f>FHD_P_48</f>
        <v/>
      </c>
      <c r="G86" s="1907" t="s">
        <v>559</v>
      </c>
      <c r="H86" s="973"/>
      <c r="I86" s="573"/>
      <c r="J86" s="270" t="str">
        <f>FHD_NOTE_P_48</f>
        <v/>
      </c>
      <c r="K86" s="729"/>
      <c r="L86" s="730"/>
      <c r="M86" s="730"/>
      <c r="N86" s="905"/>
      <c r="O86" s="905"/>
      <c r="P86" s="905"/>
      <c r="Q86" s="905"/>
      <c r="R86" s="730"/>
      <c r="S86" s="905"/>
      <c r="T86" s="905"/>
      <c r="U86" s="731"/>
      <c r="V86" s="905"/>
      <c r="W86" s="905"/>
      <c r="X86" s="905"/>
      <c r="Y86" s="905"/>
      <c r="Z86" s="905"/>
      <c r="AA86" s="732"/>
      <c r="AB86" s="732"/>
      <c r="AC86" s="732"/>
      <c r="AD86" s="732"/>
      <c r="AE86" s="732"/>
    </row>
    <row s="1661" customFormat="1" customHeight="1" ht="18.75" hidden="1">
      <c r="A87" s="2191"/>
      <c r="B87" s="905"/>
      <c r="C87" s="730"/>
      <c r="D87" s="728"/>
      <c r="E87" s="542" t="str">
        <f>FHD_NUM_P_49</f>
        <v/>
      </c>
      <c r="F87" s="1906" t="str">
        <f>FHD_P_49</f>
        <v/>
      </c>
      <c r="G87" s="1907" t="s">
        <v>559</v>
      </c>
      <c r="H87" s="974">
        <f>SUM(H88:H89)</f>
        <v>0</v>
      </c>
      <c r="I87" s="744">
        <f>SUM(I88:I89)</f>
        <v>0</v>
      </c>
      <c r="J87" s="270" t="str">
        <f>FHD_NOTE_P_49</f>
        <v/>
      </c>
      <c r="K87" s="729"/>
      <c r="L87" s="730"/>
      <c r="M87" s="730"/>
      <c r="N87" s="905"/>
      <c r="O87" s="905"/>
      <c r="P87" s="905"/>
      <c r="Q87" s="905"/>
      <c r="R87" s="730"/>
      <c r="S87" s="905"/>
      <c r="T87" s="905"/>
      <c r="U87" s="731"/>
      <c r="V87" s="905"/>
      <c r="W87" s="905"/>
      <c r="X87" s="905"/>
      <c r="Y87" s="905"/>
      <c r="Z87" s="905"/>
      <c r="AA87" s="732"/>
      <c r="AB87" s="732"/>
      <c r="AC87" s="732"/>
      <c r="AD87" s="732"/>
      <c r="AE87" s="732"/>
    </row>
    <row s="1661" customFormat="1" customHeight="1" ht="18.75" hidden="1">
      <c r="A88" s="2191"/>
      <c r="B88" s="905"/>
      <c r="C88" s="730"/>
      <c r="D88" s="728"/>
      <c r="E88" s="542" t="str">
        <f>FHD_NUM_P_50</f>
        <v/>
      </c>
      <c r="F88" s="1906" t="str">
        <f>FHD_P_50</f>
        <v/>
      </c>
      <c r="G88" s="1907" t="s">
        <v>559</v>
      </c>
      <c r="H88" s="973"/>
      <c r="I88" s="573"/>
      <c r="J88" s="270" t="str">
        <f>FHD_NOTE_P_50</f>
        <v/>
      </c>
      <c r="K88" s="729"/>
      <c r="L88" s="730"/>
      <c r="M88" s="730"/>
      <c r="N88" s="905"/>
      <c r="O88" s="905"/>
      <c r="P88" s="905"/>
      <c r="Q88" s="905"/>
      <c r="R88" s="730"/>
      <c r="S88" s="905"/>
      <c r="T88" s="905"/>
      <c r="U88" s="731"/>
      <c r="V88" s="905"/>
      <c r="W88" s="905"/>
      <c r="X88" s="905"/>
      <c r="Y88" s="905"/>
      <c r="Z88" s="905"/>
      <c r="AA88" s="732"/>
      <c r="AB88" s="732"/>
      <c r="AC88" s="732"/>
      <c r="AD88" s="732"/>
      <c r="AE88" s="732"/>
    </row>
    <row s="1661" customFormat="1" customHeight="1" ht="18.75" hidden="1">
      <c r="A89" s="2191"/>
      <c r="B89" s="905"/>
      <c r="C89" s="730"/>
      <c r="D89" s="728"/>
      <c r="E89" s="542" t="str">
        <f>FHD_NUM_P_51</f>
        <v/>
      </c>
      <c r="F89" s="1906" t="str">
        <f>FHD_P_51</f>
        <v/>
      </c>
      <c r="G89" s="1907" t="s">
        <v>559</v>
      </c>
      <c r="H89" s="973"/>
      <c r="I89" s="573"/>
      <c r="J89" s="270" t="str">
        <f>FHD_NOTE_P_51</f>
        <v/>
      </c>
      <c r="K89" s="729"/>
      <c r="L89" s="730"/>
      <c r="M89" s="730"/>
      <c r="N89" s="905"/>
      <c r="O89" s="905"/>
      <c r="P89" s="905"/>
      <c r="Q89" s="905"/>
      <c r="R89" s="730"/>
      <c r="S89" s="905"/>
      <c r="T89" s="905"/>
      <c r="U89" s="731"/>
      <c r="V89" s="905"/>
      <c r="W89" s="905"/>
      <c r="X89" s="905"/>
      <c r="Y89" s="905"/>
      <c r="Z89" s="905"/>
      <c r="AA89" s="732"/>
      <c r="AB89" s="732"/>
      <c r="AC89" s="732"/>
      <c r="AD89" s="732"/>
      <c r="AE89" s="732"/>
    </row>
    <row s="1661" customFormat="1" customHeight="1" ht="18.75" hidden="1">
      <c r="A90" s="2191"/>
      <c r="B90" s="905"/>
      <c r="C90" s="730"/>
      <c r="D90" s="728"/>
      <c r="E90" s="542" t="str">
        <f>FHD_NUM_P_52</f>
        <v/>
      </c>
      <c r="F90" s="1906" t="str">
        <f>FHD_P_52</f>
        <v/>
      </c>
      <c r="G90" s="1907" t="s">
        <v>536</v>
      </c>
      <c r="H90" s="972"/>
      <c r="I90" s="553"/>
      <c r="J90" s="270" t="str">
        <f>FHD_NOTE_P_52</f>
        <v/>
      </c>
      <c r="K90" s="729"/>
      <c r="L90" s="730"/>
      <c r="M90" s="730"/>
      <c r="N90" s="905"/>
      <c r="O90" s="905"/>
      <c r="P90" s="905"/>
      <c r="Q90" s="905"/>
      <c r="R90" s="730"/>
      <c r="S90" s="905"/>
      <c r="T90" s="905"/>
      <c r="U90" s="731"/>
      <c r="V90" s="905"/>
      <c r="W90" s="905"/>
      <c r="X90" s="905"/>
      <c r="Y90" s="905"/>
      <c r="Z90" s="905"/>
      <c r="AA90" s="732"/>
      <c r="AB90" s="732"/>
      <c r="AC90" s="732"/>
      <c r="AD90" s="732"/>
      <c r="AE90" s="732"/>
    </row>
    <row s="1384" customFormat="1" customHeight="1" ht="18.75">
      <c r="A91" s="2199" t="s">
        <v>560</v>
      </c>
      <c r="C91" s="730"/>
      <c r="D91" s="728"/>
      <c r="E91" s="542" t="str">
        <f>FHD_NUM_P_53</f>
        <v>7</v>
      </c>
      <c r="F91" s="1906" t="str">
        <f>FHD_P_53</f>
        <v>Объём приобретаемой холодной воды, используемой для горячего водоснабжения</v>
      </c>
      <c r="G91" s="1907" t="s">
        <v>559</v>
      </c>
      <c r="H91" s="973"/>
      <c r="I91" s="573"/>
      <c r="J91" s="270" t="str">
        <f>FHD_NOTE_P_53</f>
        <v/>
      </c>
      <c r="K91" s="729"/>
      <c r="L91" s="730"/>
      <c r="M91" s="730"/>
      <c r="R91" s="730"/>
      <c r="U91" s="731"/>
      <c r="AA91" s="732"/>
      <c r="AB91" s="732"/>
      <c r="AC91" s="732"/>
      <c r="AD91" s="732"/>
      <c r="AE91" s="732"/>
    </row>
    <row s="1384" customFormat="1" customHeight="1" ht="18.75">
      <c r="A92" s="2199"/>
      <c r="C92" s="730"/>
      <c r="D92" s="728"/>
      <c r="E92" s="542" t="str">
        <f>FHD_NUM_P_54</f>
        <v>8</v>
      </c>
      <c r="F92" s="1906" t="str">
        <f>FHD_P_54</f>
        <v>Объём холодной воды, получаемой с применением собственных источников водозабора (скважин) и используемой для горячего водоснабжения</v>
      </c>
      <c r="G92" s="1907" t="s">
        <v>559</v>
      </c>
      <c r="H92" s="973"/>
      <c r="I92" s="573"/>
      <c r="J92" s="270" t="str">
        <f>FHD_NOTE_P_54</f>
        <v/>
      </c>
      <c r="K92" s="729"/>
      <c r="L92" s="730"/>
      <c r="M92" s="730"/>
      <c r="R92" s="730"/>
      <c r="U92" s="731"/>
      <c r="AA92" s="732"/>
      <c r="AB92" s="732"/>
      <c r="AC92" s="732"/>
      <c r="AD92" s="732"/>
      <c r="AE92" s="732"/>
    </row>
    <row s="1384" customFormat="1" customHeight="1" ht="18.75">
      <c r="A93" s="2199"/>
      <c r="C93" s="730"/>
      <c r="D93" s="733"/>
      <c r="E93" s="542" t="str">
        <f>FHD_NUM_P_55</f>
        <v>9</v>
      </c>
      <c r="F93" s="1906" t="str">
        <f>FHD_P_55</f>
        <v>Объём приобретаемой тепловой энергии (мощности), используемой для горячего водоснабжения</v>
      </c>
      <c r="G93" s="1910"/>
      <c r="H93" s="973"/>
      <c r="I93" s="573"/>
      <c r="J93" s="270" t="str">
        <f>FHD_NOTE_P_55</f>
        <v/>
      </c>
      <c r="K93" s="729"/>
      <c r="L93" s="730"/>
      <c r="M93" s="730"/>
      <c r="R93" s="730"/>
      <c r="U93" s="731"/>
      <c r="AA93" s="732"/>
      <c r="AB93" s="732"/>
      <c r="AC93" s="732"/>
      <c r="AD93" s="732"/>
      <c r="AE93" s="732"/>
    </row>
    <row s="1384" customFormat="1" customHeight="1" ht="18.75">
      <c r="A94" s="2199"/>
      <c r="C94" s="730"/>
      <c r="D94" s="728"/>
      <c r="E94" s="542" t="str">
        <f>FHD_NUM_P_56</f>
        <v>10</v>
      </c>
      <c r="F94" s="1906" t="str">
        <f>FHD_P_56</f>
        <v>Объём тепловой энергии, производимой с применением собственных источников и используемой для горячего водоснабжения</v>
      </c>
      <c r="G94" s="1907" t="s">
        <v>561</v>
      </c>
      <c r="H94" s="973"/>
      <c r="I94" s="573"/>
      <c r="J94" s="270" t="str">
        <f>FHD_NOTE_P_56</f>
        <v/>
      </c>
      <c r="K94" s="729"/>
      <c r="L94" s="730"/>
      <c r="M94" s="730"/>
      <c r="R94" s="730"/>
      <c r="U94" s="731"/>
      <c r="AA94" s="732"/>
      <c r="AB94" s="732"/>
      <c r="AC94" s="732"/>
      <c r="AD94" s="732"/>
      <c r="AE94" s="732"/>
    </row>
    <row s="1661" customFormat="1" customHeight="1" ht="18.75">
      <c r="A95" s="2199"/>
      <c r="B95" s="905"/>
      <c r="C95" s="730"/>
      <c r="D95" s="728"/>
      <c r="E95" s="542" t="str">
        <f>FHD_NUM_P_57</f>
        <v>11</v>
      </c>
      <c r="F95" s="1906" t="str">
        <f>FHD_P_57</f>
        <v>Потери горячей воды в сетях (процентов)</v>
      </c>
      <c r="G95" s="1907" t="s">
        <v>536</v>
      </c>
      <c r="H95" s="972"/>
      <c r="I95" s="553"/>
      <c r="J95" s="270" t="str">
        <f>FHD_NOTE_P_57</f>
        <v/>
      </c>
      <c r="K95" s="729"/>
      <c r="L95" s="730"/>
      <c r="M95" s="730"/>
      <c r="N95" s="905"/>
      <c r="O95" s="905"/>
      <c r="P95" s="905"/>
      <c r="Q95" s="905"/>
      <c r="R95" s="730"/>
      <c r="S95" s="905"/>
      <c r="T95" s="905"/>
      <c r="U95" s="731"/>
      <c r="V95" s="905"/>
      <c r="W95" s="905"/>
      <c r="X95" s="905"/>
      <c r="Y95" s="905"/>
      <c r="Z95" s="905"/>
      <c r="AA95" s="732"/>
      <c r="AB95" s="732"/>
      <c r="AC95" s="732"/>
      <c r="AD95" s="732"/>
      <c r="AE95" s="732"/>
    </row>
    <row customHeight="1" ht="18.75" hidden="1">
      <c r="A96" s="2191" t="s">
        <v>562</v>
      </c>
      <c r="D96" s="1664"/>
      <c r="E96" s="542" t="str">
        <f>FHD_NUM_P_58</f>
        <v/>
      </c>
      <c r="F96" s="1906" t="str">
        <f>FHD_P_58</f>
        <v/>
      </c>
      <c r="G96" s="1907" t="s">
        <v>559</v>
      </c>
      <c r="H96" s="973"/>
      <c r="I96" s="573"/>
      <c r="J96" s="270" t="str">
        <f>FHD_NOTE_P_58</f>
        <v/>
      </c>
      <c r="K96" s="539"/>
    </row>
    <row customHeight="1" ht="18.75" hidden="1">
      <c r="A97" s="2191"/>
      <c r="D97" s="1664"/>
      <c r="E97" s="542" t="str">
        <f>FHD_NUM_P_59</f>
        <v/>
      </c>
      <c r="F97" s="1906" t="str">
        <f>FHD_P_59</f>
        <v/>
      </c>
      <c r="G97" s="1907" t="s">
        <v>559</v>
      </c>
      <c r="H97" s="973"/>
      <c r="I97" s="573"/>
      <c r="J97" s="270" t="str">
        <f>FHD_NOTE_P_59</f>
        <v/>
      </c>
      <c r="K97" s="539"/>
    </row>
    <row customHeight="1" ht="18.75" hidden="1">
      <c r="A98" s="2191"/>
      <c r="D98" s="1664"/>
      <c r="E98" s="542" t="str">
        <f>FHD_NUM_P_60</f>
        <v/>
      </c>
      <c r="F98" s="1906" t="str">
        <f>FHD_P_60</f>
        <v/>
      </c>
      <c r="G98" s="1907" t="s">
        <v>559</v>
      </c>
      <c r="H98" s="973"/>
      <c r="I98" s="573"/>
      <c r="J98" s="270" t="str">
        <f>FHD_NOTE_P_60</f>
        <v/>
      </c>
      <c r="K98" s="539"/>
    </row>
    <row s="1384" customFormat="1" customHeight="1" ht="18.75" hidden="1">
      <c r="A99" s="2191" t="s">
        <v>563</v>
      </c>
      <c r="C99" s="1662"/>
      <c r="D99" s="1664"/>
      <c r="E99" s="542" t="str">
        <f>FHD_NUM_P_61</f>
        <v/>
      </c>
      <c r="F99" s="1906" t="str">
        <f>FHD_P_61</f>
        <v/>
      </c>
      <c r="G99" s="1904" t="s">
        <v>534</v>
      </c>
      <c r="H99" s="975"/>
      <c r="I99" s="737"/>
      <c r="J99" s="270" t="str">
        <f>FHD_NOTE_P_61</f>
        <v/>
      </c>
      <c r="K99" s="539"/>
      <c r="L99" s="1662"/>
      <c r="M99" s="1662"/>
      <c r="R99" s="1662"/>
      <c r="U99" s="540"/>
      <c r="AA99" s="1658"/>
      <c r="AB99" s="1658"/>
      <c r="AC99" s="1658"/>
      <c r="AD99" s="1658"/>
      <c r="AE99" s="1658"/>
    </row>
    <row s="1668" customFormat="1" customHeight="1" ht="0.75" hidden="1">
      <c r="A100" s="2191"/>
      <c r="D100" s="544"/>
      <c r="E100" s="1009" t="str">
        <f>E99&amp;".0"</f>
        <v>.0</v>
      </c>
      <c r="F100" s="990"/>
      <c r="G100" s="991"/>
      <c r="H100" s="988"/>
      <c r="I100" s="988"/>
      <c r="J100" s="992"/>
    </row>
    <row customHeight="1" ht="15" hidden="1">
      <c r="A101" s="2191"/>
      <c r="D101" s="1659"/>
      <c r="E101" s="967"/>
      <c r="F101" s="968" t="s">
        <v>564</v>
      </c>
      <c r="G101" s="568"/>
      <c r="H101" s="569"/>
      <c r="I101" s="569"/>
      <c r="J101" s="1000" t="s">
        <v>565</v>
      </c>
      <c r="K101" s="539"/>
    </row>
    <row s="1384" customFormat="1" customHeight="1" ht="18.75" hidden="1">
      <c r="A102" s="2191"/>
      <c r="C102" s="1662"/>
      <c r="D102" s="1664"/>
      <c r="E102" s="542" t="str">
        <f>FHD_NUM_P_62</f>
        <v/>
      </c>
      <c r="F102" s="1906" t="str">
        <f>FHD_P_62</f>
        <v/>
      </c>
      <c r="G102" s="1903" t="s">
        <v>534</v>
      </c>
      <c r="H102" s="553"/>
      <c r="I102" s="553"/>
      <c r="J102" s="270" t="str">
        <f>FHD_NOTE_P_62</f>
        <v/>
      </c>
      <c r="K102" s="539"/>
      <c r="L102" s="1662"/>
      <c r="M102" s="1662"/>
      <c r="R102" s="1662"/>
      <c r="U102" s="540"/>
      <c r="AA102" s="1658"/>
      <c r="AB102" s="1658"/>
      <c r="AC102" s="1658"/>
      <c r="AD102" s="1658"/>
      <c r="AE102" s="1658"/>
    </row>
    <row s="1384" customFormat="1" customHeight="1" ht="18.75" hidden="1">
      <c r="A103" s="2191"/>
      <c r="C103" s="1662"/>
      <c r="D103" s="1664"/>
      <c r="E103" s="542" t="str">
        <f>FHD_NUM_P_63</f>
        <v/>
      </c>
      <c r="F103" s="1906" t="str">
        <f>FHD_P_63</f>
        <v/>
      </c>
      <c r="G103" s="1903" t="s">
        <v>561</v>
      </c>
      <c r="H103" s="573"/>
      <c r="I103" s="573"/>
      <c r="J103" s="270" t="str">
        <f>FHD_NOTE_P_63</f>
        <v/>
      </c>
      <c r="K103" s="539"/>
      <c r="L103" s="1662"/>
      <c r="M103" s="1662"/>
      <c r="R103" s="1662"/>
      <c r="U103" s="540"/>
      <c r="AA103" s="1658"/>
      <c r="AB103" s="1658"/>
      <c r="AC103" s="1658"/>
      <c r="AD103" s="1658"/>
      <c r="AE103" s="1658"/>
    </row>
    <row s="1384" customFormat="1" customHeight="1" ht="18.75" hidden="1">
      <c r="A104" s="2191"/>
      <c r="C104" s="1662" t="s">
        <v>566</v>
      </c>
      <c r="D104" s="1664"/>
      <c r="E104" s="542" t="str">
        <f>FHD_NUM_P_64</f>
        <v/>
      </c>
      <c r="F104" s="1906" t="str">
        <f>FHD_P_64</f>
        <v/>
      </c>
      <c r="G104" s="1903" t="s">
        <v>561</v>
      </c>
      <c r="H104" s="541"/>
      <c r="I104" s="541"/>
      <c r="J104" s="270" t="str">
        <f>FHD_NOTE_P_64</f>
        <v/>
      </c>
      <c r="K104" s="539"/>
      <c r="L104" s="1662"/>
      <c r="M104" s="1662"/>
      <c r="R104" s="1662"/>
      <c r="U104" s="540"/>
      <c r="AA104" s="1658"/>
      <c r="AB104" s="1658"/>
      <c r="AC104" s="1658"/>
      <c r="AD104" s="1658"/>
      <c r="AE104" s="1658"/>
    </row>
    <row s="1384" customFormat="1" customHeight="1" ht="18.75" hidden="1">
      <c r="A105" s="2191"/>
      <c r="C105" s="1662"/>
      <c r="D105" s="1664"/>
      <c r="E105" s="542" t="str">
        <f>FHD_NUM_P_65</f>
        <v/>
      </c>
      <c r="F105" s="1906" t="str">
        <f>FHD_P_65</f>
        <v/>
      </c>
      <c r="G105" s="1903" t="s">
        <v>561</v>
      </c>
      <c r="H105" s="573"/>
      <c r="I105" s="573"/>
      <c r="J105" s="270" t="str">
        <f>FHD_NOTE_P_65</f>
        <v/>
      </c>
      <c r="K105" s="539"/>
      <c r="L105" s="1662"/>
      <c r="M105" s="1662"/>
      <c r="R105" s="1662"/>
      <c r="U105" s="540"/>
      <c r="AA105" s="1658"/>
      <c r="AB105" s="1658"/>
      <c r="AC105" s="1658"/>
      <c r="AD105" s="1658"/>
      <c r="AE105" s="1658"/>
    </row>
    <row s="1384" customFormat="1" customHeight="1" ht="18.75" hidden="1">
      <c r="A106" s="2191"/>
      <c r="C106" s="1662"/>
      <c r="D106" s="1664"/>
      <c r="E106" s="542" t="str">
        <f>FHD_NUM_P_66</f>
        <v/>
      </c>
      <c r="F106" s="1542" t="str">
        <f>FHD_P_66</f>
        <v/>
      </c>
      <c r="G106" s="1903" t="s">
        <v>561</v>
      </c>
      <c r="H106" s="573"/>
      <c r="I106" s="573"/>
      <c r="J106" s="270" t="str">
        <f>FHD_NOTE_P_66</f>
        <v/>
      </c>
      <c r="K106" s="539"/>
      <c r="L106" s="1662"/>
      <c r="M106" s="1662"/>
      <c r="R106" s="1662"/>
      <c r="U106" s="540"/>
      <c r="AA106" s="1658"/>
      <c r="AB106" s="1658"/>
      <c r="AC106" s="1658"/>
      <c r="AD106" s="1658"/>
      <c r="AE106" s="1658"/>
    </row>
    <row s="1384" customFormat="1" customHeight="1" ht="18.75" hidden="1">
      <c r="A107" s="2191"/>
      <c r="C107" s="1662"/>
      <c r="D107" s="1664"/>
      <c r="E107" s="542" t="str">
        <f>FHD_NUM_P_67</f>
        <v/>
      </c>
      <c r="F107" s="1676" t="str">
        <f>FHD_P_67</f>
        <v/>
      </c>
      <c r="G107" s="1903" t="s">
        <v>561</v>
      </c>
      <c r="H107" s="573"/>
      <c r="I107" s="573"/>
      <c r="J107" s="270" t="str">
        <f>FHD_NOTE_P_67</f>
        <v/>
      </c>
      <c r="K107" s="539"/>
      <c r="L107" s="1662"/>
      <c r="M107" s="1662"/>
      <c r="R107" s="1662"/>
      <c r="U107" s="540"/>
      <c r="AA107" s="1658"/>
      <c r="AB107" s="1658"/>
      <c r="AC107" s="1658"/>
      <c r="AD107" s="1658"/>
      <c r="AE107" s="1658"/>
    </row>
    <row s="1384" customFormat="1" customHeight="1" ht="18.75" hidden="1">
      <c r="A108" s="2191"/>
      <c r="C108" s="1662"/>
      <c r="D108" s="1664"/>
      <c r="E108" s="542" t="str">
        <f>FHD_NUM_P_68</f>
        <v/>
      </c>
      <c r="F108" s="1542" t="str">
        <f>FHD_P_68</f>
        <v/>
      </c>
      <c r="G108" s="1903" t="s">
        <v>561</v>
      </c>
      <c r="H108" s="573"/>
      <c r="I108" s="573"/>
      <c r="J108" s="270" t="str">
        <f>FHD_NOTE_P_68</f>
        <v/>
      </c>
      <c r="K108" s="539"/>
      <c r="L108" s="1662"/>
      <c r="M108" s="1662"/>
      <c r="R108" s="1662"/>
      <c r="U108" s="540"/>
      <c r="AA108" s="1658"/>
      <c r="AB108" s="1658"/>
      <c r="AC108" s="1658"/>
      <c r="AD108" s="1658"/>
      <c r="AE108" s="1658"/>
    </row>
    <row s="1384" customFormat="1" customHeight="1" ht="18.75" hidden="1">
      <c r="A109" s="2191"/>
      <c r="C109" s="1662"/>
      <c r="D109" s="1664"/>
      <c r="E109" s="542" t="str">
        <f>FHD_NUM_P_69</f>
        <v/>
      </c>
      <c r="F109" s="1542" t="str">
        <f>FHD_P_69</f>
        <v/>
      </c>
      <c r="G109" s="1903" t="s">
        <v>561</v>
      </c>
      <c r="H109" s="573"/>
      <c r="I109" s="573"/>
      <c r="J109" s="270" t="str">
        <f>FHD_NOTE_P_69</f>
        <v/>
      </c>
      <c r="K109" s="539"/>
      <c r="L109" s="1662"/>
      <c r="M109" s="1662"/>
      <c r="R109" s="1662"/>
      <c r="U109" s="540"/>
      <c r="AA109" s="1658"/>
      <c r="AB109" s="1658"/>
      <c r="AC109" s="1658"/>
      <c r="AD109" s="1658"/>
      <c r="AE109" s="1658"/>
    </row>
    <row s="1384" customFormat="1" customHeight="1" ht="22.5" hidden="1">
      <c r="A110" s="2191"/>
      <c r="C110" s="1662"/>
      <c r="D110" s="1664"/>
      <c r="E110" s="542" t="str">
        <f>FHD_NUM_P_70</f>
        <v/>
      </c>
      <c r="F110" s="1906" t="str">
        <f>FHD_P_70</f>
        <v/>
      </c>
      <c r="G110" s="1903" t="s">
        <v>567</v>
      </c>
      <c r="H110" s="553"/>
      <c r="I110" s="553"/>
      <c r="J110" s="270" t="str">
        <f>FHD_NOTE_P_70</f>
        <v/>
      </c>
      <c r="K110" s="539"/>
      <c r="L110" s="1662"/>
      <c r="M110" s="1662"/>
      <c r="R110" s="1662"/>
      <c r="U110" s="540"/>
      <c r="AA110" s="1658"/>
      <c r="AB110" s="1658"/>
      <c r="AC110" s="1658"/>
      <c r="AD110" s="1658"/>
      <c r="AE110" s="1658"/>
    </row>
    <row s="1384" customFormat="1" customHeight="1" ht="22.5" hidden="1">
      <c r="A111" s="2191"/>
      <c r="C111" s="1662"/>
      <c r="D111" s="1664"/>
      <c r="E111" s="542" t="str">
        <f>FHD_NUM_P_71</f>
        <v/>
      </c>
      <c r="F111" s="1906" t="str">
        <f>FHD_P_71</f>
        <v/>
      </c>
      <c r="G111" s="1903" t="s">
        <v>567</v>
      </c>
      <c r="H111" s="553"/>
      <c r="I111" s="553"/>
      <c r="J111" s="270" t="str">
        <f>FHD_NOTE_P_71</f>
        <v/>
      </c>
      <c r="K111" s="539"/>
      <c r="L111" s="1662"/>
      <c r="M111" s="1662"/>
      <c r="R111" s="1662"/>
      <c r="U111" s="540"/>
      <c r="AA111" s="1658"/>
      <c r="AB111" s="1658"/>
      <c r="AC111" s="1658"/>
      <c r="AD111" s="1658"/>
      <c r="AE111" s="1658"/>
    </row>
    <row customHeight="1" ht="22.5">
      <c r="D112" s="1664"/>
      <c r="E112" s="542" t="str">
        <f>FHD_NUM_P_72</f>
        <v>12</v>
      </c>
      <c r="F112" s="1906" t="str">
        <f>FHD_P_72</f>
        <v>Среднесписочная численность основного производственного персонала</v>
      </c>
      <c r="G112" s="1902" t="s">
        <v>568</v>
      </c>
      <c r="H112" s="573"/>
      <c r="I112" s="573"/>
      <c r="J112" s="270" t="str">
        <f>FHD_NOTE_P_72</f>
        <v/>
      </c>
      <c r="K112" s="539"/>
    </row>
    <row customHeight="1" ht="18.75" hidden="1">
      <c r="A113" s="985" t="s">
        <v>569</v>
      </c>
      <c r="D113" s="1664"/>
      <c r="E113" s="542" t="str">
        <f>FHD_NUM_P_73</f>
        <v/>
      </c>
      <c r="F113" s="1906" t="str">
        <f>FHD_P_73</f>
        <v/>
      </c>
      <c r="G113" s="966" t="s">
        <v>568</v>
      </c>
      <c r="H113" s="964"/>
      <c r="I113" s="964"/>
      <c r="J113" s="270" t="str">
        <f>FHD_NOTE_P_73</f>
        <v/>
      </c>
      <c r="K113" s="539"/>
    </row>
    <row customHeight="1" ht="33.75">
      <c r="A114" s="985" t="s">
        <v>570</v>
      </c>
      <c r="D114" s="1664"/>
      <c r="E114" s="542" t="str">
        <f>FHD_NUM_P_74</f>
        <v>13</v>
      </c>
      <c r="F114" s="1906" t="str">
        <f>FHD_P_74</f>
        <v>Удельный расход электрической энергии на подачу воды в сеть</v>
      </c>
      <c r="G114" s="1902" t="s">
        <v>571</v>
      </c>
      <c r="H114" s="573"/>
      <c r="I114" s="573"/>
      <c r="J114" s="270" t="str">
        <f>FHD_NOTE_P_74</f>
        <v/>
      </c>
      <c r="K114" s="539"/>
    </row>
    <row s="1661" customFormat="1" customHeight="1" ht="18.75" hidden="1">
      <c r="A115" s="2199" t="s">
        <v>572</v>
      </c>
      <c r="B115" s="905"/>
      <c r="C115" s="730"/>
      <c r="D115" s="728"/>
      <c r="E115" s="542" t="str">
        <f>FHD_NUM_P_75</f>
        <v/>
      </c>
      <c r="F115" s="1906" t="str">
        <f>FHD_P_75</f>
        <v/>
      </c>
      <c r="G115" s="1902" t="s">
        <v>536</v>
      </c>
      <c r="H115" s="553"/>
      <c r="I115" s="553"/>
      <c r="J115" s="270" t="str">
        <f>FHD_NOTE_P_75</f>
        <v/>
      </c>
      <c r="K115" s="729"/>
      <c r="L115" s="730"/>
      <c r="M115" s="730"/>
      <c r="N115" s="905"/>
      <c r="O115" s="905"/>
      <c r="P115" s="905"/>
      <c r="Q115" s="905"/>
      <c r="R115" s="730"/>
      <c r="S115" s="905"/>
      <c r="T115" s="905"/>
      <c r="U115" s="731"/>
      <c r="V115" s="905"/>
      <c r="W115" s="905"/>
      <c r="X115" s="905"/>
      <c r="Y115" s="905"/>
      <c r="Z115" s="905"/>
      <c r="AA115" s="732"/>
      <c r="AB115" s="732"/>
      <c r="AC115" s="732"/>
      <c r="AD115" s="732"/>
      <c r="AE115" s="732"/>
    </row>
    <row s="1661" customFormat="1" customHeight="1" ht="18.75" hidden="1">
      <c r="A116" s="2199"/>
      <c r="B116" s="905"/>
      <c r="C116" s="730"/>
      <c r="D116" s="728"/>
      <c r="E116" s="542" t="str">
        <f>FHD_NUM_P_76</f>
        <v/>
      </c>
      <c r="F116" s="1906" t="str">
        <f>FHD_P_76</f>
        <v/>
      </c>
      <c r="G116" s="1902" t="s">
        <v>536</v>
      </c>
      <c r="H116" s="553"/>
      <c r="I116" s="553"/>
      <c r="J116" s="270" t="str">
        <f>FHD_NOTE_P_76</f>
        <v/>
      </c>
      <c r="K116" s="729"/>
      <c r="L116" s="730"/>
      <c r="M116" s="730"/>
      <c r="N116" s="905"/>
      <c r="O116" s="905"/>
      <c r="P116" s="905"/>
      <c r="Q116" s="905"/>
      <c r="R116" s="730"/>
      <c r="S116" s="905"/>
      <c r="T116" s="905"/>
      <c r="U116" s="731"/>
      <c r="V116" s="905"/>
      <c r="W116" s="905"/>
      <c r="X116" s="905"/>
      <c r="Y116" s="905"/>
      <c r="Z116" s="905"/>
      <c r="AA116" s="732"/>
      <c r="AB116" s="732"/>
      <c r="AC116" s="732"/>
      <c r="AD116" s="732"/>
      <c r="AE116" s="732"/>
    </row>
    <row s="1661" customFormat="1" customHeight="1" ht="18.75" hidden="1">
      <c r="A117" s="2199"/>
      <c r="B117" s="905"/>
      <c r="C117" s="730"/>
      <c r="D117" s="728"/>
      <c r="E117" s="542" t="str">
        <f>FHD_NUM_P_77</f>
        <v/>
      </c>
      <c r="F117" s="1906" t="str">
        <f>FHD_P_77</f>
        <v/>
      </c>
      <c r="G117" s="1902" t="s">
        <v>536</v>
      </c>
      <c r="H117" s="553"/>
      <c r="I117" s="553"/>
      <c r="J117" s="270" t="str">
        <f>FHD_NOTE_P_77</f>
        <v/>
      </c>
      <c r="K117" s="729"/>
      <c r="L117" s="730"/>
      <c r="M117" s="730"/>
      <c r="N117" s="905"/>
      <c r="O117" s="905"/>
      <c r="P117" s="905"/>
      <c r="Q117" s="905"/>
      <c r="R117" s="730"/>
      <c r="S117" s="905"/>
      <c r="T117" s="905"/>
      <c r="U117" s="731"/>
      <c r="V117" s="905"/>
      <c r="W117" s="905"/>
      <c r="X117" s="905"/>
      <c r="Y117" s="905"/>
      <c r="Z117" s="905"/>
      <c r="AA117" s="732"/>
      <c r="AB117" s="732"/>
      <c r="AC117" s="732"/>
      <c r="AD117" s="732"/>
      <c r="AE117" s="732"/>
    </row>
    <row s="1668" customFormat="1" customHeight="1" ht="0.75" hidden="1">
      <c r="A118" s="2199"/>
      <c r="D118" s="544"/>
      <c r="E118" s="1009" t="str">
        <f>E117&amp;".0"</f>
        <v>.0</v>
      </c>
      <c r="F118" s="993"/>
      <c r="G118" s="1677"/>
      <c r="H118" s="988"/>
      <c r="I118" s="988"/>
      <c r="J118" s="992"/>
    </row>
    <row s="1661" customFormat="1" customHeight="1" ht="15" hidden="1">
      <c r="A119" s="2199"/>
      <c r="B119" s="905"/>
      <c r="C119" s="730"/>
      <c r="D119" s="741"/>
      <c r="E119" s="969"/>
      <c r="F119" s="970" t="s">
        <v>573</v>
      </c>
      <c r="G119" s="742"/>
      <c r="H119" s="743"/>
      <c r="I119" s="743"/>
      <c r="J119" s="999" t="s">
        <v>574</v>
      </c>
      <c r="K119" s="729"/>
      <c r="L119" s="730"/>
      <c r="M119" s="730"/>
      <c r="N119" s="905"/>
      <c r="O119" s="905"/>
      <c r="P119" s="905"/>
      <c r="Q119" s="905"/>
      <c r="R119" s="730"/>
      <c r="S119" s="905"/>
      <c r="T119" s="905"/>
      <c r="U119" s="731"/>
      <c r="V119" s="905"/>
      <c r="W119" s="905"/>
      <c r="X119" s="905"/>
      <c r="Y119" s="905"/>
      <c r="Z119" s="905"/>
      <c r="AA119" s="732"/>
      <c r="AB119" s="732"/>
      <c r="AC119" s="732"/>
      <c r="AD119" s="732"/>
      <c r="AE119" s="732"/>
    </row>
    <row customHeight="1" ht="22.5" hidden="1">
      <c r="A120" s="2191" t="s">
        <v>575</v>
      </c>
      <c r="D120" s="1664"/>
      <c r="E120" s="542" t="str">
        <f>FHD_NUM_P_78</f>
        <v/>
      </c>
      <c r="F120" s="1906" t="str">
        <f>FHD_P_78</f>
        <v/>
      </c>
      <c r="G120" s="1903" t="s">
        <v>538</v>
      </c>
      <c r="H120" s="573"/>
      <c r="I120" s="573"/>
      <c r="J120" s="270" t="str">
        <f>FHD_NOTE_P_78</f>
        <v/>
      </c>
      <c r="K120" s="539"/>
    </row>
    <row s="1668" customFormat="1" customHeight="1" ht="0.75" hidden="1">
      <c r="A121" s="2191"/>
      <c r="D121" s="544"/>
      <c r="E121" s="1009" t="str">
        <f>E120&amp;".0"</f>
        <v>.0</v>
      </c>
      <c r="F121" s="993"/>
      <c r="G121" s="1677"/>
      <c r="H121" s="988"/>
      <c r="I121" s="988"/>
      <c r="J121" s="992"/>
    </row>
    <row customHeight="1" ht="15" hidden="1">
      <c r="A122" s="2191"/>
      <c r="D122" s="1659"/>
      <c r="E122" s="566"/>
      <c r="F122" s="1164" t="s">
        <v>564</v>
      </c>
      <c r="G122" s="568"/>
      <c r="H122" s="569"/>
      <c r="I122" s="569"/>
      <c r="J122" s="1000" t="s">
        <v>576</v>
      </c>
      <c r="K122" s="539"/>
    </row>
    <row customHeight="1" ht="22.5" hidden="1">
      <c r="A123" s="2191"/>
      <c r="D123" s="1664"/>
      <c r="E123" s="542" t="str">
        <f>FHD_NUM_P_79</f>
        <v/>
      </c>
      <c r="F123" s="1906" t="str">
        <f>FHD_P_79</f>
        <v/>
      </c>
      <c r="G123" s="1904" t="s">
        <v>540</v>
      </c>
      <c r="H123" s="573"/>
      <c r="I123" s="573"/>
      <c r="J123" s="270" t="str">
        <f>FHD_NOTE_P_79</f>
        <v/>
      </c>
      <c r="K123" s="539"/>
    </row>
    <row s="1668" customFormat="1" customHeight="1" ht="0.75" hidden="1">
      <c r="A124" s="2191"/>
      <c r="D124" s="544"/>
      <c r="E124" s="1009" t="str">
        <f>E123&amp;".0"</f>
        <v>.0</v>
      </c>
      <c r="F124" s="994"/>
      <c r="G124" s="1677"/>
      <c r="H124" s="988"/>
      <c r="I124" s="988"/>
      <c r="J124" s="992"/>
    </row>
    <row customHeight="1" ht="15" hidden="1">
      <c r="A125" s="2191"/>
      <c r="D125" s="1659"/>
      <c r="E125" s="566"/>
      <c r="F125" s="1164" t="s">
        <v>564</v>
      </c>
      <c r="G125" s="568"/>
      <c r="H125" s="569"/>
      <c r="I125" s="569"/>
      <c r="J125" s="1000" t="s">
        <v>577</v>
      </c>
      <c r="K125" s="539"/>
    </row>
    <row customHeight="1" ht="22.5" hidden="1">
      <c r="A126" s="2191"/>
      <c r="D126" s="1664"/>
      <c r="E126" s="542" t="str">
        <f>FHD_NUM_P_80</f>
        <v/>
      </c>
      <c r="F126" s="1906" t="str">
        <f>FHD_P_80</f>
        <v/>
      </c>
      <c r="G126" s="1904" t="s">
        <v>578</v>
      </c>
      <c r="H126" s="553"/>
      <c r="I126" s="553"/>
      <c r="J126" s="270" t="str">
        <f>FHD_NOTE_P_80</f>
        <v/>
      </c>
      <c r="K126" s="539"/>
    </row>
    <row customHeight="1" ht="18.75" hidden="1">
      <c r="A127" s="2191"/>
      <c r="D127" s="1664"/>
      <c r="E127" s="542" t="str">
        <f>FHD_NUM_P_81</f>
        <v/>
      </c>
      <c r="F127" s="1906" t="str">
        <f>FHD_P_81</f>
        <v/>
      </c>
      <c r="G127" s="1904" t="s">
        <v>579</v>
      </c>
      <c r="H127" s="553"/>
      <c r="I127" s="553"/>
      <c r="J127" s="270" t="str">
        <f>FHD_NOTE_P_81</f>
        <v/>
      </c>
      <c r="K127" s="539"/>
    </row>
    <row customHeight="1" ht="18.75" hidden="1">
      <c r="A128" s="2191"/>
      <c r="C128" s="1662" t="s">
        <v>566</v>
      </c>
      <c r="D128" s="1664"/>
      <c r="E128" s="542" t="str">
        <f>FHD_NUM_P_82</f>
        <v/>
      </c>
      <c r="F128" s="1906" t="str">
        <f>FHD_P_82</f>
        <v/>
      </c>
      <c r="G128" s="1904" t="s">
        <v>290</v>
      </c>
      <c r="H128" s="398"/>
      <c r="I128" s="398"/>
      <c r="J128" s="270" t="str">
        <f>FHD_NOTE_P_82</f>
        <v/>
      </c>
      <c r="K128" s="539"/>
    </row>
    <row customHeight="1" ht="18.75" hidden="1">
      <c r="A129" s="2191"/>
      <c r="C129" s="1662" t="s">
        <v>566</v>
      </c>
      <c r="D129" s="1664"/>
      <c r="E129" s="542" t="str">
        <f>FHD_NUM_P_83</f>
        <v/>
      </c>
      <c r="F129" s="1542" t="str">
        <f>FHD_P_83</f>
        <v/>
      </c>
      <c r="G129" s="1904" t="s">
        <v>290</v>
      </c>
      <c r="H129" s="398"/>
      <c r="I129" s="398"/>
      <c r="J129" s="270" t="str">
        <f>FHD_NOTE_P_83</f>
        <v/>
      </c>
      <c r="K129" s="539"/>
    </row>
    <row customHeight="1" ht="18.75" hidden="1">
      <c r="A130" s="2191"/>
      <c r="C130" s="1662" t="s">
        <v>566</v>
      </c>
      <c r="D130" s="1664"/>
      <c r="E130" s="542" t="str">
        <f>FHD_NUM_P_84</f>
        <v/>
      </c>
      <c r="F130" s="1542" t="str">
        <f>FHD_P_84</f>
        <v/>
      </c>
      <c r="G130" s="1904" t="s">
        <v>290</v>
      </c>
      <c r="H130" s="398"/>
      <c r="I130" s="398"/>
      <c r="J130" s="270" t="str">
        <f>FHD_NOTE_P_84</f>
        <v/>
      </c>
      <c r="K130" s="539"/>
    </row>
    <row customHeight="1" ht="11.25">
      <c r="D131" s="1664"/>
    </row>
    <row customHeight="1" ht="12.75">
      <c r="D132" s="1664"/>
      <c r="E132" s="324"/>
      <c r="F132" s="361"/>
      <c r="G132" s="361"/>
      <c r="H132" s="361"/>
      <c r="I132" s="1673"/>
      <c r="J132" s="577"/>
    </row>
    <row s="1667" customFormat="1" customHeight="1" ht="11.25">
      <c r="A133" s="983"/>
      <c r="B133" s="1662"/>
      <c r="C133" s="1662"/>
      <c r="D133" s="339"/>
      <c r="F133" s="1666"/>
      <c r="G133" s="1657"/>
      <c r="H133" s="1657"/>
      <c r="I133" s="1657"/>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H136" s="562" t="str">
        <f>IF(H30-H31&lt;&gt;H72,"WARNING","")</f>
        <v/>
      </c>
      <c r="I136" s="562" t="str">
        <f>IF(I30-I31&lt;&gt;I72,"WARNING","")</f>
        <v/>
      </c>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s="1667" customFormat="1" customHeight="1" ht="11.25">
      <c r="A205" s="983"/>
      <c r="B205" s="1662"/>
      <c r="C205" s="1662"/>
      <c r="D205" s="339"/>
      <c r="K205" s="1156"/>
      <c r="L205" s="1662"/>
      <c r="M205" s="1662"/>
      <c r="N205" s="1156"/>
      <c r="O205" s="1156"/>
      <c r="P205" s="1156"/>
      <c r="Q205" s="1156"/>
      <c r="R205" s="1662"/>
      <c r="S205" s="1156"/>
      <c r="T205" s="1156"/>
      <c r="U205" s="540"/>
      <c r="V205" s="1156"/>
      <c r="W205" s="1156"/>
      <c r="X205" s="1156"/>
      <c r="Y205" s="1156"/>
      <c r="Z205" s="1156"/>
      <c r="AA205" s="1658"/>
      <c r="AB205" s="562"/>
      <c r="AC205" s="562"/>
      <c r="AD205" s="562"/>
      <c r="AE205" s="562"/>
    </row>
    <row s="1667" customFormat="1" customHeight="1" ht="11.25">
      <c r="A206" s="983"/>
      <c r="B206" s="1662"/>
      <c r="C206" s="1662"/>
      <c r="D206" s="339"/>
      <c r="K206" s="1156"/>
      <c r="L206" s="1662"/>
      <c r="M206" s="1662"/>
      <c r="N206" s="1156"/>
      <c r="O206" s="1156"/>
      <c r="P206" s="1156"/>
      <c r="Q206" s="1156"/>
      <c r="R206" s="1662"/>
      <c r="S206" s="1156"/>
      <c r="T206" s="1156"/>
      <c r="U206" s="540"/>
      <c r="V206" s="1156"/>
      <c r="W206" s="1156"/>
      <c r="X206" s="1156"/>
      <c r="Y206" s="1156"/>
      <c r="Z206" s="1156"/>
      <c r="AA206" s="1658"/>
      <c r="AB206" s="562"/>
      <c r="AC206" s="562"/>
      <c r="AD206" s="562"/>
      <c r="AE206" s="562"/>
    </row>
    <row s="1667" customFormat="1" customHeight="1" ht="11.25">
      <c r="A207" s="983"/>
      <c r="B207" s="1662"/>
      <c r="C207" s="1662"/>
      <c r="D207" s="339"/>
      <c r="K207" s="1156"/>
      <c r="L207" s="1662"/>
      <c r="M207" s="1662"/>
      <c r="N207" s="1156"/>
      <c r="O207" s="1156"/>
      <c r="P207" s="1156"/>
      <c r="Q207" s="1156"/>
      <c r="R207" s="1662"/>
      <c r="S207" s="1156"/>
      <c r="T207" s="1156"/>
      <c r="U207" s="540"/>
      <c r="V207" s="1156"/>
      <c r="W207" s="1156"/>
      <c r="X207" s="1156"/>
      <c r="Y207" s="1156"/>
      <c r="Z207" s="1156"/>
      <c r="AA207" s="1658"/>
      <c r="AB207" s="562"/>
      <c r="AC207" s="562"/>
      <c r="AD207" s="562"/>
      <c r="AE207" s="562"/>
    </row>
    <row s="1667" customFormat="1" customHeight="1" ht="11.25">
      <c r="A208" s="983"/>
      <c r="B208" s="1662"/>
      <c r="C208" s="1662"/>
      <c r="D208" s="339"/>
      <c r="K208" s="1156"/>
      <c r="L208" s="1662"/>
      <c r="M208" s="1662"/>
      <c r="N208" s="1156"/>
      <c r="O208" s="1156"/>
      <c r="P208" s="1156"/>
      <c r="Q208" s="1156"/>
      <c r="R208" s="1662"/>
      <c r="S208" s="1156"/>
      <c r="T208" s="1156"/>
      <c r="U208" s="540"/>
      <c r="V208" s="1156"/>
      <c r="W208" s="1156"/>
      <c r="X208" s="1156"/>
      <c r="Y208" s="1156"/>
      <c r="Z208" s="1156"/>
      <c r="AA208" s="1658"/>
      <c r="AB208" s="562"/>
      <c r="AC208" s="562"/>
      <c r="AD208" s="562"/>
      <c r="AE208" s="562"/>
    </row>
    <row s="1667" customFormat="1" customHeight="1" ht="11.25">
      <c r="A209" s="983"/>
      <c r="B209" s="1662"/>
      <c r="C209" s="1662"/>
      <c r="D209" s="339"/>
      <c r="K209" s="1156"/>
      <c r="L209" s="1662"/>
      <c r="M209" s="1662"/>
      <c r="N209" s="1156"/>
      <c r="O209" s="1156"/>
      <c r="P209" s="1156"/>
      <c r="Q209" s="1156"/>
      <c r="R209" s="1662"/>
      <c r="S209" s="1156"/>
      <c r="T209" s="1156"/>
      <c r="U209" s="540"/>
      <c r="V209" s="1156"/>
      <c r="W209" s="1156"/>
      <c r="X209" s="1156"/>
      <c r="Y209" s="1156"/>
      <c r="Z209" s="1156"/>
      <c r="AA209" s="1658"/>
      <c r="AB209" s="562"/>
      <c r="AC209" s="562"/>
      <c r="AD209" s="562"/>
      <c r="AE209" s="562"/>
    </row>
    <row s="1667" customFormat="1" customHeight="1" ht="11.25">
      <c r="A210" s="983"/>
      <c r="B210" s="1662"/>
      <c r="C210" s="1662"/>
      <c r="D210" s="339"/>
      <c r="K210" s="1156"/>
      <c r="L210" s="1662"/>
      <c r="M210" s="1662"/>
      <c r="N210" s="1156"/>
      <c r="O210" s="1156"/>
      <c r="P210" s="1156"/>
      <c r="Q210" s="1156"/>
      <c r="R210" s="1662"/>
      <c r="S210" s="1156"/>
      <c r="T210" s="1156"/>
      <c r="U210" s="540"/>
      <c r="V210" s="1156"/>
      <c r="W210" s="1156"/>
      <c r="X210" s="1156"/>
      <c r="Y210" s="1156"/>
      <c r="Z210" s="1156"/>
      <c r="AA210" s="1658"/>
      <c r="AB210" s="562"/>
      <c r="AC210" s="562"/>
      <c r="AD210" s="562"/>
      <c r="AE210" s="562"/>
    </row>
    <row s="1667" customFormat="1" customHeight="1" ht="11.25">
      <c r="A211" s="983"/>
      <c r="B211" s="1662"/>
      <c r="C211" s="1662"/>
      <c r="D211" s="339"/>
      <c r="K211" s="1156"/>
      <c r="L211" s="1662"/>
      <c r="M211" s="1662"/>
      <c r="N211" s="1156"/>
      <c r="O211" s="1156"/>
      <c r="P211" s="1156"/>
      <c r="Q211" s="1156"/>
      <c r="R211" s="1662"/>
      <c r="S211" s="1156"/>
      <c r="T211" s="1156"/>
      <c r="U211" s="540"/>
      <c r="V211" s="1156"/>
      <c r="W211" s="1156"/>
      <c r="X211" s="1156"/>
      <c r="Y211" s="1156"/>
      <c r="Z211" s="1156"/>
      <c r="AA211" s="1658"/>
      <c r="AB211" s="562"/>
      <c r="AC211" s="562"/>
      <c r="AD211" s="562"/>
      <c r="AE211" s="562"/>
    </row>
    <row s="1667" customFormat="1" customHeight="1" ht="11.25">
      <c r="A212" s="983"/>
      <c r="B212" s="1662"/>
      <c r="C212" s="1662"/>
      <c r="D212" s="339"/>
      <c r="K212" s="1156"/>
      <c r="L212" s="1662"/>
      <c r="M212" s="1662"/>
      <c r="N212" s="1156"/>
      <c r="O212" s="1156"/>
      <c r="P212" s="1156"/>
      <c r="Q212" s="1156"/>
      <c r="R212" s="1662"/>
      <c r="S212" s="1156"/>
      <c r="T212" s="1156"/>
      <c r="U212" s="540"/>
      <c r="V212" s="1156"/>
      <c r="W212" s="1156"/>
      <c r="X212" s="1156"/>
      <c r="Y212" s="1156"/>
      <c r="Z212" s="1156"/>
      <c r="AA212" s="1658"/>
      <c r="AB212" s="562"/>
      <c r="AC212" s="562"/>
      <c r="AD212" s="562"/>
      <c r="AE212" s="562"/>
    </row>
    <row s="1667" customFormat="1" customHeight="1" ht="11.25">
      <c r="A213" s="983"/>
      <c r="B213" s="1662"/>
      <c r="C213" s="1662"/>
      <c r="D213" s="339"/>
      <c r="K213" s="1156"/>
      <c r="L213" s="1662"/>
      <c r="M213" s="1662"/>
      <c r="N213" s="1156"/>
      <c r="O213" s="1156"/>
      <c r="P213" s="1156"/>
      <c r="Q213" s="1156"/>
      <c r="R213" s="1662"/>
      <c r="S213" s="1156"/>
      <c r="T213" s="1156"/>
      <c r="U213" s="540"/>
      <c r="V213" s="1156"/>
      <c r="W213" s="1156"/>
      <c r="X213" s="1156"/>
      <c r="Y213" s="1156"/>
      <c r="Z213" s="1156"/>
      <c r="AA213" s="1658"/>
      <c r="AB213" s="562"/>
      <c r="AC213" s="562"/>
      <c r="AD213" s="562"/>
      <c r="AE213" s="562"/>
    </row>
    <row s="1667" customFormat="1" customHeight="1" ht="11.25">
      <c r="A214" s="983"/>
      <c r="B214" s="1662"/>
      <c r="C214" s="1662"/>
      <c r="D214" s="339"/>
      <c r="K214" s="1156"/>
      <c r="L214" s="1662"/>
      <c r="M214" s="1662"/>
      <c r="N214" s="1156"/>
      <c r="O214" s="1156"/>
      <c r="P214" s="1156"/>
      <c r="Q214" s="1156"/>
      <c r="R214" s="1662"/>
      <c r="S214" s="1156"/>
      <c r="T214" s="1156"/>
      <c r="U214" s="540"/>
      <c r="V214" s="1156"/>
      <c r="W214" s="1156"/>
      <c r="X214" s="1156"/>
      <c r="Y214" s="1156"/>
      <c r="Z214" s="1156"/>
      <c r="AA214" s="1658"/>
      <c r="AB214" s="562"/>
      <c r="AC214" s="562"/>
      <c r="AD214" s="562"/>
      <c r="AE214" s="562"/>
    </row>
    <row s="1667" customFormat="1" customHeight="1" ht="11.25">
      <c r="A215" s="983"/>
      <c r="B215" s="1662"/>
      <c r="C215" s="1662"/>
      <c r="D215" s="339"/>
      <c r="K215" s="1156"/>
      <c r="L215" s="1662"/>
      <c r="M215" s="1662"/>
      <c r="N215" s="1156"/>
      <c r="O215" s="1156"/>
      <c r="P215" s="1156"/>
      <c r="Q215" s="1156"/>
      <c r="R215" s="1662"/>
      <c r="S215" s="1156"/>
      <c r="T215" s="1156"/>
      <c r="U215" s="540"/>
      <c r="V215" s="1156"/>
      <c r="W215" s="1156"/>
      <c r="X215" s="1156"/>
      <c r="Y215" s="1156"/>
      <c r="Z215" s="1156"/>
      <c r="AA215" s="1658"/>
      <c r="AB215" s="562"/>
      <c r="AC215" s="562"/>
      <c r="AD215" s="562"/>
      <c r="AE215" s="562"/>
    </row>
    <row s="1667" customFormat="1" customHeight="1" ht="11.25">
      <c r="A216" s="983"/>
      <c r="B216" s="1662"/>
      <c r="C216" s="1662"/>
      <c r="D216" s="339"/>
      <c r="K216" s="1156"/>
      <c r="L216" s="1662"/>
      <c r="M216" s="1662"/>
      <c r="N216" s="1156"/>
      <c r="O216" s="1156"/>
      <c r="P216" s="1156"/>
      <c r="Q216" s="1156"/>
      <c r="R216" s="1662"/>
      <c r="S216" s="1156"/>
      <c r="T216" s="1156"/>
      <c r="U216" s="540"/>
      <c r="V216" s="1156"/>
      <c r="W216" s="1156"/>
      <c r="X216" s="1156"/>
      <c r="Y216" s="1156"/>
      <c r="Z216" s="1156"/>
      <c r="AA216" s="1658"/>
      <c r="AB216" s="562"/>
      <c r="AC216" s="562"/>
      <c r="AD216" s="562"/>
      <c r="AE216" s="562"/>
    </row>
    <row s="1667" customFormat="1" customHeight="1" ht="11.25">
      <c r="A217" s="983"/>
      <c r="B217" s="1662"/>
      <c r="C217" s="1662"/>
      <c r="D217" s="339"/>
      <c r="K217" s="1156"/>
      <c r="L217" s="1662"/>
      <c r="M217" s="1662"/>
      <c r="N217" s="1156"/>
      <c r="O217" s="1156"/>
      <c r="P217" s="1156"/>
      <c r="Q217" s="1156"/>
      <c r="R217" s="1662"/>
      <c r="S217" s="1156"/>
      <c r="T217" s="1156"/>
      <c r="U217" s="540"/>
      <c r="V217" s="1156"/>
      <c r="W217" s="1156"/>
      <c r="X217" s="1156"/>
      <c r="Y217" s="1156"/>
      <c r="Z217" s="1156"/>
      <c r="AA217" s="1658"/>
      <c r="AB217" s="562"/>
      <c r="AC217" s="562"/>
      <c r="AD217" s="562"/>
      <c r="AE217" s="562"/>
    </row>
    <row s="1667" customFormat="1" customHeight="1" ht="11.25">
      <c r="A218" s="983"/>
      <c r="B218" s="1662"/>
      <c r="C218" s="1662"/>
      <c r="D218" s="339"/>
      <c r="K218" s="1156"/>
      <c r="L218" s="1662"/>
      <c r="M218" s="1662"/>
      <c r="N218" s="1156"/>
      <c r="O218" s="1156"/>
      <c r="P218" s="1156"/>
      <c r="Q218" s="1156"/>
      <c r="R218" s="1662"/>
      <c r="S218" s="1156"/>
      <c r="T218" s="1156"/>
      <c r="U218" s="540"/>
      <c r="V218" s="1156"/>
      <c r="W218" s="1156"/>
      <c r="X218" s="1156"/>
      <c r="Y218" s="1156"/>
      <c r="Z218" s="1156"/>
      <c r="AA218" s="1658"/>
      <c r="AB218" s="562"/>
      <c r="AC218" s="562"/>
      <c r="AD218" s="562"/>
      <c r="AE218" s="562"/>
    </row>
    <row s="1667" customFormat="1" customHeight="1" ht="11.25">
      <c r="A219" s="983"/>
      <c r="B219" s="1662"/>
      <c r="C219" s="1662"/>
      <c r="D219" s="339"/>
      <c r="K219" s="1156"/>
      <c r="L219" s="1662"/>
      <c r="M219" s="1662"/>
      <c r="N219" s="1156"/>
      <c r="O219" s="1156"/>
      <c r="P219" s="1156"/>
      <c r="Q219" s="1156"/>
      <c r="R219" s="1662"/>
      <c r="S219" s="1156"/>
      <c r="T219" s="1156"/>
      <c r="U219" s="540"/>
      <c r="V219" s="1156"/>
      <c r="W219" s="1156"/>
      <c r="X219" s="1156"/>
      <c r="Y219" s="1156"/>
      <c r="Z219" s="1156"/>
      <c r="AA219" s="1658"/>
      <c r="AB219" s="562"/>
      <c r="AC219" s="562"/>
      <c r="AD219" s="562"/>
      <c r="AE219" s="562"/>
    </row>
    <row s="1667" customFormat="1" customHeight="1" ht="11.25">
      <c r="A220" s="983"/>
      <c r="B220" s="1662"/>
      <c r="C220" s="1662"/>
      <c r="D220" s="339"/>
      <c r="K220" s="1156"/>
      <c r="L220" s="1662"/>
      <c r="M220" s="1662"/>
      <c r="N220" s="1156"/>
      <c r="O220" s="1156"/>
      <c r="P220" s="1156"/>
      <c r="Q220" s="1156"/>
      <c r="R220" s="1662"/>
      <c r="S220" s="1156"/>
      <c r="T220" s="1156"/>
      <c r="U220" s="540"/>
      <c r="V220" s="1156"/>
      <c r="W220" s="1156"/>
      <c r="X220" s="1156"/>
      <c r="Y220" s="1156"/>
      <c r="Z220" s="1156"/>
      <c r="AA220" s="1658"/>
      <c r="AB220" s="562"/>
      <c r="AC220" s="562"/>
      <c r="AD220" s="562"/>
      <c r="AE220" s="562"/>
    </row>
    <row s="1667" customFormat="1" customHeight="1" ht="11.25">
      <c r="A221" s="983"/>
      <c r="B221" s="1662"/>
      <c r="C221" s="1662"/>
      <c r="D221" s="339"/>
      <c r="K221" s="1156"/>
      <c r="L221" s="1662"/>
      <c r="M221" s="1662"/>
      <c r="N221" s="1156"/>
      <c r="O221" s="1156"/>
      <c r="P221" s="1156"/>
      <c r="Q221" s="1156"/>
      <c r="R221" s="1662"/>
      <c r="S221" s="1156"/>
      <c r="T221" s="1156"/>
      <c r="U221" s="540"/>
      <c r="V221" s="1156"/>
      <c r="W221" s="1156"/>
      <c r="X221" s="1156"/>
      <c r="Y221" s="1156"/>
      <c r="Z221" s="1156"/>
      <c r="AA221" s="1658"/>
      <c r="AB221" s="562"/>
      <c r="AC221" s="562"/>
      <c r="AD221" s="562"/>
      <c r="AE221" s="562"/>
    </row>
    <row s="1667" customFormat="1" customHeight="1" ht="11.25">
      <c r="A222" s="983"/>
      <c r="B222" s="1662"/>
      <c r="C222" s="1662"/>
      <c r="D222" s="339"/>
      <c r="K222" s="1156"/>
      <c r="L222" s="1662"/>
      <c r="M222" s="1662"/>
      <c r="N222" s="1156"/>
      <c r="O222" s="1156"/>
      <c r="P222" s="1156"/>
      <c r="Q222" s="1156"/>
      <c r="R222" s="1662"/>
      <c r="S222" s="1156"/>
      <c r="T222" s="1156"/>
      <c r="U222" s="540"/>
      <c r="V222" s="1156"/>
      <c r="W222" s="1156"/>
      <c r="X222" s="1156"/>
      <c r="Y222" s="1156"/>
      <c r="Z222" s="1156"/>
      <c r="AA222" s="1658"/>
      <c r="AB222" s="562"/>
      <c r="AC222" s="562"/>
      <c r="AD222" s="562"/>
      <c r="AE222" s="562"/>
    </row>
    <row s="1667" customFormat="1" customHeight="1" ht="11.25">
      <c r="A223" s="983"/>
      <c r="B223" s="1662"/>
      <c r="C223" s="1662"/>
      <c r="D223" s="339"/>
      <c r="K223" s="1156"/>
      <c r="L223" s="1662"/>
      <c r="M223" s="1662"/>
      <c r="N223" s="1156"/>
      <c r="O223" s="1156"/>
      <c r="P223" s="1156"/>
      <c r="Q223" s="1156"/>
      <c r="R223" s="1662"/>
      <c r="S223" s="1156"/>
      <c r="T223" s="1156"/>
      <c r="U223" s="540"/>
      <c r="V223" s="1156"/>
      <c r="W223" s="1156"/>
      <c r="X223" s="1156"/>
      <c r="Y223" s="1156"/>
      <c r="Z223" s="1156"/>
      <c r="AA223" s="1658"/>
      <c r="AB223" s="562"/>
      <c r="AC223" s="562"/>
      <c r="AD223" s="562"/>
      <c r="AE223" s="562"/>
    </row>
    <row s="1667" customFormat="1" customHeight="1" ht="11.25">
      <c r="A224" s="983"/>
      <c r="B224" s="1662"/>
      <c r="C224" s="1662"/>
      <c r="D224" s="339"/>
      <c r="K224" s="1156"/>
      <c r="L224" s="1662"/>
      <c r="M224" s="1662"/>
      <c r="N224" s="1156"/>
      <c r="O224" s="1156"/>
      <c r="P224" s="1156"/>
      <c r="Q224" s="1156"/>
      <c r="R224" s="1662"/>
      <c r="S224" s="1156"/>
      <c r="T224" s="1156"/>
      <c r="U224" s="540"/>
      <c r="V224" s="1156"/>
      <c r="W224" s="1156"/>
      <c r="X224" s="1156"/>
      <c r="Y224" s="1156"/>
      <c r="Z224" s="1156"/>
      <c r="AA224" s="1658"/>
      <c r="AB224" s="562"/>
      <c r="AC224" s="562"/>
      <c r="AD224" s="562"/>
      <c r="AE224" s="562"/>
    </row>
    <row s="1667" customFormat="1" customHeight="1" ht="11.25">
      <c r="A225" s="983"/>
      <c r="B225" s="1662"/>
      <c r="C225" s="1662"/>
      <c r="D225" s="339"/>
      <c r="K225" s="1156"/>
      <c r="L225" s="1662"/>
      <c r="M225" s="1662"/>
      <c r="N225" s="1156"/>
      <c r="O225" s="1156"/>
      <c r="P225" s="1156"/>
      <c r="Q225" s="1156"/>
      <c r="R225" s="1662"/>
      <c r="S225" s="1156"/>
      <c r="T225" s="1156"/>
      <c r="U225" s="540"/>
      <c r="V225" s="1156"/>
      <c r="W225" s="1156"/>
      <c r="X225" s="1156"/>
      <c r="Y225" s="1156"/>
      <c r="Z225" s="1156"/>
      <c r="AA225" s="1658"/>
      <c r="AB225" s="562"/>
      <c r="AC225" s="562"/>
      <c r="AD225" s="562"/>
      <c r="AE225" s="562"/>
    </row>
    <row s="1667" customFormat="1" customHeight="1" ht="11.25">
      <c r="A226" s="983"/>
      <c r="B226" s="1662"/>
      <c r="C226" s="1662"/>
      <c r="D226" s="339"/>
      <c r="K226" s="1156"/>
      <c r="L226" s="1662"/>
      <c r="M226" s="1662"/>
      <c r="N226" s="1156"/>
      <c r="O226" s="1156"/>
      <c r="P226" s="1156"/>
      <c r="Q226" s="1156"/>
      <c r="R226" s="1662"/>
      <c r="S226" s="1156"/>
      <c r="T226" s="1156"/>
      <c r="U226" s="540"/>
      <c r="V226" s="1156"/>
      <c r="W226" s="1156"/>
      <c r="X226" s="1156"/>
      <c r="Y226" s="1156"/>
      <c r="Z226" s="1156"/>
      <c r="AA226" s="1658"/>
      <c r="AB226" s="562"/>
      <c r="AC226" s="562"/>
      <c r="AD226" s="562"/>
      <c r="AE226" s="562"/>
    </row>
    <row s="1667" customFormat="1" customHeight="1" ht="11.25">
      <c r="A227" s="983"/>
      <c r="B227" s="1662"/>
      <c r="C227" s="1662"/>
      <c r="D227" s="339"/>
      <c r="K227" s="1156"/>
      <c r="L227" s="1662"/>
      <c r="M227" s="1662"/>
      <c r="N227" s="1156"/>
      <c r="O227" s="1156"/>
      <c r="P227" s="1156"/>
      <c r="Q227" s="1156"/>
      <c r="R227" s="1662"/>
      <c r="S227" s="1156"/>
      <c r="T227" s="1156"/>
      <c r="U227" s="540"/>
      <c r="V227" s="1156"/>
      <c r="W227" s="1156"/>
      <c r="X227" s="1156"/>
      <c r="Y227" s="1156"/>
      <c r="Z227" s="1156"/>
      <c r="AA227" s="1658"/>
      <c r="AB227" s="562"/>
      <c r="AC227" s="562"/>
      <c r="AD227" s="562"/>
      <c r="AE227" s="562"/>
    </row>
    <row s="1667" customFormat="1" customHeight="1" ht="11.25">
      <c r="A228" s="983"/>
      <c r="B228" s="1662"/>
      <c r="C228" s="1662"/>
      <c r="D228" s="339"/>
      <c r="K228" s="1156"/>
      <c r="L228" s="1662"/>
      <c r="M228" s="1662"/>
      <c r="N228" s="1156"/>
      <c r="O228" s="1156"/>
      <c r="P228" s="1156"/>
      <c r="Q228" s="1156"/>
      <c r="R228" s="1662"/>
      <c r="S228" s="1156"/>
      <c r="T228" s="1156"/>
      <c r="U228" s="540"/>
      <c r="V228" s="1156"/>
      <c r="W228" s="1156"/>
      <c r="X228" s="1156"/>
      <c r="Y228" s="1156"/>
      <c r="Z228" s="1156"/>
      <c r="AA228" s="1658"/>
      <c r="AB228" s="562"/>
      <c r="AC228" s="562"/>
      <c r="AD228" s="562"/>
      <c r="AE228" s="562"/>
    </row>
    <row s="1667" customFormat="1" customHeight="1" ht="11.25">
      <c r="A229" s="983"/>
      <c r="B229" s="1662"/>
      <c r="C229" s="1662"/>
      <c r="D229" s="339"/>
      <c r="K229" s="1156"/>
      <c r="L229" s="1662"/>
      <c r="M229" s="1662"/>
      <c r="N229" s="1156"/>
      <c r="O229" s="1156"/>
      <c r="P229" s="1156"/>
      <c r="Q229" s="1156"/>
      <c r="R229" s="1662"/>
      <c r="S229" s="1156"/>
      <c r="T229" s="1156"/>
      <c r="U229" s="540"/>
      <c r="V229" s="1156"/>
      <c r="W229" s="1156"/>
      <c r="X229" s="1156"/>
      <c r="Y229" s="1156"/>
      <c r="Z229" s="1156"/>
      <c r="AA229" s="1658"/>
      <c r="AB229" s="562"/>
      <c r="AC229" s="562"/>
      <c r="AD229" s="562"/>
      <c r="AE229" s="562"/>
    </row>
    <row s="1667" customFormat="1" customHeight="1" ht="11.25">
      <c r="A230" s="983"/>
      <c r="B230" s="1662"/>
      <c r="C230" s="1662"/>
      <c r="D230" s="339"/>
      <c r="K230" s="1156"/>
      <c r="L230" s="1662"/>
      <c r="M230" s="1662"/>
      <c r="N230" s="1156"/>
      <c r="O230" s="1156"/>
      <c r="P230" s="1156"/>
      <c r="Q230" s="1156"/>
      <c r="R230" s="1662"/>
      <c r="S230" s="1156"/>
      <c r="T230" s="1156"/>
      <c r="U230" s="540"/>
      <c r="V230" s="1156"/>
      <c r="W230" s="1156"/>
      <c r="X230" s="1156"/>
      <c r="Y230" s="1156"/>
      <c r="Z230" s="1156"/>
      <c r="AA230" s="1658"/>
      <c r="AB230" s="562"/>
      <c r="AC230" s="562"/>
      <c r="AD230" s="562"/>
      <c r="AE230" s="562"/>
    </row>
    <row s="1667" customFormat="1" customHeight="1" ht="11.25">
      <c r="A231" s="983"/>
      <c r="B231" s="1662"/>
      <c r="C231" s="1662"/>
      <c r="D231" s="339"/>
      <c r="K231" s="1156"/>
      <c r="L231" s="1662"/>
      <c r="M231" s="1662"/>
      <c r="N231" s="1156"/>
      <c r="O231" s="1156"/>
      <c r="P231" s="1156"/>
      <c r="Q231" s="1156"/>
      <c r="R231" s="1662"/>
      <c r="S231" s="1156"/>
      <c r="T231" s="1156"/>
      <c r="U231" s="540"/>
      <c r="V231" s="1156"/>
      <c r="W231" s="1156"/>
      <c r="X231" s="1156"/>
      <c r="Y231" s="1156"/>
      <c r="Z231" s="1156"/>
      <c r="AA231" s="1658"/>
      <c r="AB231" s="562"/>
      <c r="AC231" s="562"/>
      <c r="AD231" s="562"/>
      <c r="AE231" s="562"/>
    </row>
    <row s="1667" customFormat="1" customHeight="1" ht="11.25">
      <c r="A232" s="983"/>
      <c r="B232" s="1662"/>
      <c r="C232" s="1662"/>
      <c r="D232" s="339"/>
      <c r="K232" s="1156"/>
      <c r="L232" s="1662"/>
      <c r="M232" s="1662"/>
      <c r="N232" s="1156"/>
      <c r="O232" s="1156"/>
      <c r="P232" s="1156"/>
      <c r="Q232" s="1156"/>
      <c r="R232" s="1662"/>
      <c r="S232" s="1156"/>
      <c r="T232" s="1156"/>
      <c r="U232" s="540"/>
      <c r="V232" s="1156"/>
      <c r="W232" s="1156"/>
      <c r="X232" s="1156"/>
      <c r="Y232" s="1156"/>
      <c r="Z232" s="1156"/>
      <c r="AA232" s="1658"/>
      <c r="AB232" s="562"/>
      <c r="AC232" s="562"/>
      <c r="AD232" s="562"/>
      <c r="AE232" s="562"/>
    </row>
    <row s="1667" customFormat="1" customHeight="1" ht="11.25">
      <c r="A233" s="983"/>
      <c r="B233" s="1662"/>
      <c r="C233" s="1662"/>
      <c r="D233" s="339"/>
      <c r="K233" s="1156"/>
      <c r="L233" s="1662"/>
      <c r="M233" s="1662"/>
      <c r="N233" s="1156"/>
      <c r="O233" s="1156"/>
      <c r="P233" s="1156"/>
      <c r="Q233" s="1156"/>
      <c r="R233" s="1662"/>
      <c r="S233" s="1156"/>
      <c r="T233" s="1156"/>
      <c r="U233" s="540"/>
      <c r="V233" s="1156"/>
      <c r="W233" s="1156"/>
      <c r="X233" s="1156"/>
      <c r="Y233" s="1156"/>
      <c r="Z233" s="1156"/>
      <c r="AA233" s="1658"/>
      <c r="AB233" s="562"/>
      <c r="AC233" s="562"/>
      <c r="AD233" s="562"/>
      <c r="AE233" s="562"/>
    </row>
    <row s="1667" customFormat="1" customHeight="1" ht="11.25">
      <c r="A234" s="983"/>
      <c r="B234" s="1662"/>
      <c r="C234" s="1662"/>
      <c r="D234" s="339"/>
      <c r="K234" s="1156"/>
      <c r="L234" s="1662"/>
      <c r="M234" s="1662"/>
      <c r="N234" s="1156"/>
      <c r="O234" s="1156"/>
      <c r="P234" s="1156"/>
      <c r="Q234" s="1156"/>
      <c r="R234" s="1662"/>
      <c r="S234" s="1156"/>
      <c r="T234" s="1156"/>
      <c r="U234" s="540"/>
      <c r="V234" s="1156"/>
      <c r="W234" s="1156"/>
      <c r="X234" s="1156"/>
      <c r="Y234" s="1156"/>
      <c r="Z234" s="1156"/>
      <c r="AA234" s="1658"/>
      <c r="AB234" s="562"/>
      <c r="AC234" s="562"/>
      <c r="AD234" s="562"/>
      <c r="AE234" s="562"/>
    </row>
    <row s="1667" customFormat="1" customHeight="1" ht="11.25">
      <c r="A235" s="983"/>
      <c r="B235" s="1662"/>
      <c r="C235" s="1662"/>
      <c r="D235" s="339"/>
      <c r="K235" s="1156"/>
      <c r="L235" s="1662"/>
      <c r="M235" s="1662"/>
      <c r="N235" s="1156"/>
      <c r="O235" s="1156"/>
      <c r="P235" s="1156"/>
      <c r="Q235" s="1156"/>
      <c r="R235" s="1662"/>
      <c r="S235" s="1156"/>
      <c r="T235" s="1156"/>
      <c r="U235" s="540"/>
      <c r="V235" s="1156"/>
      <c r="W235" s="1156"/>
      <c r="X235" s="1156"/>
      <c r="Y235" s="1156"/>
      <c r="Z235" s="1156"/>
      <c r="AA235" s="1658"/>
      <c r="AB235" s="562"/>
      <c r="AC235" s="562"/>
      <c r="AD235" s="562"/>
      <c r="AE235" s="562"/>
    </row>
    <row s="1667" customFormat="1" customHeight="1" ht="11.25">
      <c r="A236" s="983"/>
      <c r="B236" s="1662"/>
      <c r="C236" s="1662"/>
      <c r="D236" s="339"/>
      <c r="K236" s="1156"/>
      <c r="L236" s="1662"/>
      <c r="M236" s="1662"/>
      <c r="N236" s="1156"/>
      <c r="O236" s="1156"/>
      <c r="P236" s="1156"/>
      <c r="Q236" s="1156"/>
      <c r="R236" s="1662"/>
      <c r="S236" s="1156"/>
      <c r="T236" s="1156"/>
      <c r="U236" s="540"/>
      <c r="V236" s="1156"/>
      <c r="W236" s="1156"/>
      <c r="X236" s="1156"/>
      <c r="Y236" s="1156"/>
      <c r="Z236" s="1156"/>
      <c r="AA236" s="1658"/>
      <c r="AB236" s="562"/>
      <c r="AC236" s="562"/>
      <c r="AD236" s="562"/>
      <c r="AE236" s="562"/>
    </row>
    <row s="1667" customFormat="1" customHeight="1" ht="11.25">
      <c r="A237" s="983"/>
      <c r="B237" s="1662"/>
      <c r="C237" s="1662"/>
      <c r="D237" s="339"/>
      <c r="K237" s="1156"/>
      <c r="L237" s="1662"/>
      <c r="M237" s="1662"/>
      <c r="N237" s="1156"/>
      <c r="O237" s="1156"/>
      <c r="P237" s="1156"/>
      <c r="Q237" s="1156"/>
      <c r="R237" s="1662"/>
      <c r="S237" s="1156"/>
      <c r="T237" s="1156"/>
      <c r="U237" s="540"/>
      <c r="V237" s="1156"/>
      <c r="W237" s="1156"/>
      <c r="X237" s="1156"/>
      <c r="Y237" s="1156"/>
      <c r="Z237" s="1156"/>
      <c r="AA237" s="1658"/>
      <c r="AB237" s="562"/>
      <c r="AC237" s="562"/>
      <c r="AD237" s="562"/>
      <c r="AE237" s="562"/>
    </row>
    <row s="1667" customFormat="1" customHeight="1" ht="11.25">
      <c r="A238" s="983"/>
      <c r="B238" s="1662"/>
      <c r="C238" s="1662"/>
      <c r="D238" s="339"/>
      <c r="K238" s="1156"/>
      <c r="L238" s="1662"/>
      <c r="M238" s="1662"/>
      <c r="N238" s="1156"/>
      <c r="O238" s="1156"/>
      <c r="P238" s="1156"/>
      <c r="Q238" s="1156"/>
      <c r="R238" s="1662"/>
      <c r="S238" s="1156"/>
      <c r="T238" s="1156"/>
      <c r="U238" s="540"/>
      <c r="V238" s="1156"/>
      <c r="W238" s="1156"/>
      <c r="X238" s="1156"/>
      <c r="Y238" s="1156"/>
      <c r="Z238" s="1156"/>
      <c r="AA238" s="1658"/>
      <c r="AB238" s="562"/>
      <c r="AC238" s="562"/>
      <c r="AD238" s="562"/>
      <c r="AE238" s="562"/>
    </row>
    <row s="1667" customFormat="1" customHeight="1" ht="11.25">
      <c r="A239" s="983"/>
      <c r="B239" s="1662"/>
      <c r="C239" s="1662"/>
      <c r="D239" s="339"/>
      <c r="K239" s="1156"/>
      <c r="L239" s="1662"/>
      <c r="M239" s="1662"/>
      <c r="N239" s="1156"/>
      <c r="O239" s="1156"/>
      <c r="P239" s="1156"/>
      <c r="Q239" s="1156"/>
      <c r="R239" s="1662"/>
      <c r="S239" s="1156"/>
      <c r="T239" s="1156"/>
      <c r="U239" s="540"/>
      <c r="V239" s="1156"/>
      <c r="W239" s="1156"/>
      <c r="X239" s="1156"/>
      <c r="Y239" s="1156"/>
      <c r="Z239" s="1156"/>
      <c r="AA239" s="1658"/>
      <c r="AB239" s="562"/>
      <c r="AC239" s="562"/>
      <c r="AD239" s="562"/>
      <c r="AE239" s="562"/>
    </row>
    <row s="1667" customFormat="1" customHeight="1" ht="11.25">
      <c r="A240" s="983"/>
      <c r="B240" s="1662"/>
      <c r="C240" s="1662"/>
      <c r="D240" s="339"/>
      <c r="K240" s="1156"/>
      <c r="L240" s="1662"/>
      <c r="M240" s="1662"/>
      <c r="N240" s="1156"/>
      <c r="O240" s="1156"/>
      <c r="P240" s="1156"/>
      <c r="Q240" s="1156"/>
      <c r="R240" s="1662"/>
      <c r="S240" s="1156"/>
      <c r="T240" s="1156"/>
      <c r="U240" s="540"/>
      <c r="V240" s="1156"/>
      <c r="W240" s="1156"/>
      <c r="X240" s="1156"/>
      <c r="Y240" s="1156"/>
      <c r="Z240" s="1156"/>
      <c r="AA240" s="1658"/>
      <c r="AB240" s="562"/>
      <c r="AC240" s="562"/>
      <c r="AD240" s="562"/>
      <c r="AE240" s="562"/>
    </row>
    <row s="1667" customFormat="1" customHeight="1" ht="11.25">
      <c r="A241" s="983"/>
      <c r="B241" s="1662"/>
      <c r="C241" s="1662"/>
      <c r="D241" s="339"/>
      <c r="K241" s="1156"/>
      <c r="L241" s="1662"/>
      <c r="M241" s="1662"/>
      <c r="N241" s="1156"/>
      <c r="O241" s="1156"/>
      <c r="P241" s="1156"/>
      <c r="Q241" s="1156"/>
      <c r="R241" s="1662"/>
      <c r="S241" s="1156"/>
      <c r="T241" s="1156"/>
      <c r="U241" s="540"/>
      <c r="V241" s="1156"/>
      <c r="W241" s="1156"/>
      <c r="X241" s="1156"/>
      <c r="Y241" s="1156"/>
      <c r="Z241" s="1156"/>
      <c r="AA241" s="1658"/>
      <c r="AB241" s="562"/>
      <c r="AC241" s="562"/>
      <c r="AD241" s="562"/>
      <c r="AE241" s="562"/>
    </row>
    <row s="1667" customFormat="1" customHeight="1" ht="11.25">
      <c r="A242" s="983"/>
      <c r="B242" s="1662"/>
      <c r="C242" s="1662"/>
      <c r="D242" s="339"/>
      <c r="K242" s="1156"/>
      <c r="L242" s="1662"/>
      <c r="M242" s="1662"/>
      <c r="N242" s="1156"/>
      <c r="O242" s="1156"/>
      <c r="P242" s="1156"/>
      <c r="Q242" s="1156"/>
      <c r="R242" s="1662"/>
      <c r="S242" s="1156"/>
      <c r="T242" s="1156"/>
      <c r="U242" s="540"/>
      <c r="V242" s="1156"/>
      <c r="W242" s="1156"/>
      <c r="X242" s="1156"/>
      <c r="Y242" s="1156"/>
      <c r="Z242" s="1156"/>
      <c r="AA242" s="1658"/>
      <c r="AB242" s="562"/>
      <c r="AC242" s="562"/>
      <c r="AD242" s="562"/>
      <c r="AE242" s="562"/>
    </row>
    <row s="1667" customFormat="1" customHeight="1" ht="11.25">
      <c r="A243" s="983"/>
      <c r="B243" s="1662"/>
      <c r="C243" s="1662"/>
      <c r="D243" s="339"/>
      <c r="K243" s="1156"/>
      <c r="L243" s="1662"/>
      <c r="M243" s="1662"/>
      <c r="N243" s="1156"/>
      <c r="O243" s="1156"/>
      <c r="P243" s="1156"/>
      <c r="Q243" s="1156"/>
      <c r="R243" s="1662"/>
      <c r="S243" s="1156"/>
      <c r="T243" s="1156"/>
      <c r="U243" s="540"/>
      <c r="V243" s="1156"/>
      <c r="W243" s="1156"/>
      <c r="X243" s="1156"/>
      <c r="Y243" s="1156"/>
      <c r="Z243" s="1156"/>
      <c r="AA243" s="1658"/>
      <c r="AB243" s="562"/>
      <c r="AC243" s="562"/>
      <c r="AD243" s="562"/>
      <c r="AE243" s="562"/>
    </row>
    <row s="1667" customFormat="1" customHeight="1" ht="11.25">
      <c r="A244" s="983"/>
      <c r="B244" s="1662"/>
      <c r="C244" s="1662"/>
      <c r="D244" s="339"/>
      <c r="K244" s="1156"/>
      <c r="L244" s="1662"/>
      <c r="M244" s="1662"/>
      <c r="N244" s="1156"/>
      <c r="O244" s="1156"/>
      <c r="P244" s="1156"/>
      <c r="Q244" s="1156"/>
      <c r="R244" s="1662"/>
      <c r="S244" s="1156"/>
      <c r="T244" s="1156"/>
      <c r="U244" s="540"/>
      <c r="V244" s="1156"/>
      <c r="W244" s="1156"/>
      <c r="X244" s="1156"/>
      <c r="Y244" s="1156"/>
      <c r="Z244" s="1156"/>
      <c r="AA244" s="1658"/>
      <c r="AB244" s="562"/>
      <c r="AC244" s="562"/>
      <c r="AD244" s="562"/>
      <c r="AE244" s="562"/>
    </row>
    <row s="1667" customFormat="1" customHeight="1" ht="11.25">
      <c r="A245" s="983"/>
      <c r="B245" s="1662"/>
      <c r="C245" s="1662"/>
      <c r="D245" s="339"/>
      <c r="K245" s="1156"/>
      <c r="L245" s="1662"/>
      <c r="M245" s="1662"/>
      <c r="N245" s="1156"/>
      <c r="O245" s="1156"/>
      <c r="P245" s="1156"/>
      <c r="Q245" s="1156"/>
      <c r="R245" s="1662"/>
      <c r="S245" s="1156"/>
      <c r="T245" s="1156"/>
      <c r="U245" s="540"/>
      <c r="V245" s="1156"/>
      <c r="W245" s="1156"/>
      <c r="X245" s="1156"/>
      <c r="Y245" s="1156"/>
      <c r="Z245" s="1156"/>
      <c r="AA245" s="1658"/>
      <c r="AB245" s="562"/>
      <c r="AC245" s="562"/>
      <c r="AD245" s="562"/>
      <c r="AE245" s="562"/>
    </row>
    <row s="1667" customFormat="1" customHeight="1" ht="11.25">
      <c r="A246" s="983"/>
      <c r="B246" s="1662"/>
      <c r="C246" s="1662"/>
      <c r="D246" s="339"/>
      <c r="K246" s="1156"/>
      <c r="L246" s="1662"/>
      <c r="M246" s="1662"/>
      <c r="N246" s="1156"/>
      <c r="O246" s="1156"/>
      <c r="P246" s="1156"/>
      <c r="Q246" s="1156"/>
      <c r="R246" s="1662"/>
      <c r="S246" s="1156"/>
      <c r="T246" s="1156"/>
      <c r="U246" s="540"/>
      <c r="V246" s="1156"/>
      <c r="W246" s="1156"/>
      <c r="X246" s="1156"/>
      <c r="Y246" s="1156"/>
      <c r="Z246" s="1156"/>
      <c r="AA246" s="1658"/>
      <c r="AB246" s="562"/>
      <c r="AC246" s="562"/>
      <c r="AD246" s="562"/>
      <c r="AE246" s="562"/>
    </row>
    <row s="1667" customFormat="1" customHeight="1" ht="11.25">
      <c r="A247" s="983"/>
      <c r="B247" s="1662"/>
      <c r="C247" s="1662"/>
      <c r="D247" s="339"/>
      <c r="K247" s="1156"/>
      <c r="L247" s="1662"/>
      <c r="M247" s="1662"/>
      <c r="N247" s="1156"/>
      <c r="O247" s="1156"/>
      <c r="P247" s="1156"/>
      <c r="Q247" s="1156"/>
      <c r="R247" s="1662"/>
      <c r="S247" s="1156"/>
      <c r="T247" s="1156"/>
      <c r="U247" s="540"/>
      <c r="V247" s="1156"/>
      <c r="W247" s="1156"/>
      <c r="X247" s="1156"/>
      <c r="Y247" s="1156"/>
      <c r="Z247" s="1156"/>
      <c r="AA247" s="1658"/>
      <c r="AB247" s="562"/>
      <c r="AC247" s="562"/>
      <c r="AD247" s="562"/>
      <c r="AE247" s="562"/>
    </row>
    <row s="1667" customFormat="1" customHeight="1" ht="11.25">
      <c r="A248" s="983"/>
      <c r="B248" s="1662"/>
      <c r="C248" s="1662"/>
      <c r="D248" s="339"/>
      <c r="K248" s="1156"/>
      <c r="L248" s="1662"/>
      <c r="M248" s="1662"/>
      <c r="N248" s="1156"/>
      <c r="O248" s="1156"/>
      <c r="P248" s="1156"/>
      <c r="Q248" s="1156"/>
      <c r="R248" s="1662"/>
      <c r="S248" s="1156"/>
      <c r="T248" s="1156"/>
      <c r="U248" s="540"/>
      <c r="V248" s="1156"/>
      <c r="W248" s="1156"/>
      <c r="X248" s="1156"/>
      <c r="Y248" s="1156"/>
      <c r="Z248" s="1156"/>
      <c r="AA248" s="1658"/>
      <c r="AB248" s="562"/>
      <c r="AC248" s="562"/>
      <c r="AD248" s="562"/>
      <c r="AE248" s="562"/>
    </row>
    <row s="1667" customFormat="1" customHeight="1" ht="11.25">
      <c r="A249" s="983"/>
      <c r="B249" s="1662"/>
      <c r="C249" s="1662"/>
      <c r="D249" s="339"/>
      <c r="K249" s="1156"/>
      <c r="L249" s="1662"/>
      <c r="M249" s="1662"/>
      <c r="N249" s="1156"/>
      <c r="O249" s="1156"/>
      <c r="P249" s="1156"/>
      <c r="Q249" s="1156"/>
      <c r="R249" s="1662"/>
      <c r="S249" s="1156"/>
      <c r="T249" s="1156"/>
      <c r="U249" s="540"/>
      <c r="V249" s="1156"/>
      <c r="W249" s="1156"/>
      <c r="X249" s="1156"/>
      <c r="Y249" s="1156"/>
      <c r="Z249" s="1156"/>
      <c r="AA249" s="1658"/>
      <c r="AB249" s="562"/>
      <c r="AC249" s="562"/>
      <c r="AD249" s="562"/>
      <c r="AE249" s="562"/>
    </row>
    <row s="1667" customFormat="1" customHeight="1" ht="11.25">
      <c r="A250" s="983"/>
      <c r="B250" s="1662"/>
      <c r="C250" s="1662"/>
      <c r="D250" s="339"/>
      <c r="K250" s="1156"/>
      <c r="L250" s="1662"/>
      <c r="M250" s="1662"/>
      <c r="N250" s="1156"/>
      <c r="O250" s="1156"/>
      <c r="P250" s="1156"/>
      <c r="Q250" s="1156"/>
      <c r="R250" s="1662"/>
      <c r="S250" s="1156"/>
      <c r="T250" s="1156"/>
      <c r="U250" s="540"/>
      <c r="V250" s="1156"/>
      <c r="W250" s="1156"/>
      <c r="X250" s="1156"/>
      <c r="Y250" s="1156"/>
      <c r="Z250" s="1156"/>
      <c r="AA250" s="1658"/>
      <c r="AB250" s="562"/>
      <c r="AC250" s="562"/>
      <c r="AD250" s="562"/>
      <c r="AE250" s="562"/>
    </row>
    <row s="1667" customFormat="1" customHeight="1" ht="11.25">
      <c r="A251" s="983"/>
      <c r="B251" s="1662"/>
      <c r="C251" s="1662"/>
      <c r="D251" s="339"/>
      <c r="K251" s="1156"/>
      <c r="L251" s="1662"/>
      <c r="M251" s="1662"/>
      <c r="N251" s="1156"/>
      <c r="O251" s="1156"/>
      <c r="P251" s="1156"/>
      <c r="Q251" s="1156"/>
      <c r="R251" s="1662"/>
      <c r="S251" s="1156"/>
      <c r="T251" s="1156"/>
      <c r="U251" s="540"/>
      <c r="V251" s="1156"/>
      <c r="W251" s="1156"/>
      <c r="X251" s="1156"/>
      <c r="Y251" s="1156"/>
      <c r="Z251" s="1156"/>
      <c r="AA251" s="1658"/>
      <c r="AB251" s="562"/>
      <c r="AC251" s="562"/>
      <c r="AD251" s="562"/>
      <c r="AE251" s="562"/>
    </row>
    <row s="1667" customFormat="1" customHeight="1" ht="11.25">
      <c r="A252" s="983"/>
      <c r="B252" s="1662"/>
      <c r="C252" s="1662"/>
      <c r="D252" s="339"/>
      <c r="K252" s="1156"/>
      <c r="L252" s="1662"/>
      <c r="M252" s="1662"/>
      <c r="N252" s="1156"/>
      <c r="O252" s="1156"/>
      <c r="P252" s="1156"/>
      <c r="Q252" s="1156"/>
      <c r="R252" s="1662"/>
      <c r="S252" s="1156"/>
      <c r="T252" s="1156"/>
      <c r="U252" s="540"/>
      <c r="V252" s="1156"/>
      <c r="W252" s="1156"/>
      <c r="X252" s="1156"/>
      <c r="Y252" s="1156"/>
      <c r="Z252" s="1156"/>
      <c r="AA252" s="1658"/>
      <c r="AB252" s="562"/>
      <c r="AC252" s="562"/>
      <c r="AD252" s="562"/>
      <c r="AE252" s="562"/>
    </row>
    <row s="1667" customFormat="1" customHeight="1" ht="11.25">
      <c r="A253" s="983"/>
      <c r="B253" s="1662"/>
      <c r="C253" s="1662"/>
      <c r="D253" s="339"/>
      <c r="K253" s="1156"/>
      <c r="L253" s="1662"/>
      <c r="M253" s="1662"/>
      <c r="N253" s="1156"/>
      <c r="O253" s="1156"/>
      <c r="P253" s="1156"/>
      <c r="Q253" s="1156"/>
      <c r="R253" s="1662"/>
      <c r="S253" s="1156"/>
      <c r="T253" s="1156"/>
      <c r="U253" s="540"/>
      <c r="V253" s="1156"/>
      <c r="W253" s="1156"/>
      <c r="X253" s="1156"/>
      <c r="Y253" s="1156"/>
      <c r="Z253" s="1156"/>
      <c r="AA253" s="1658"/>
      <c r="AB253" s="562"/>
      <c r="AC253" s="562"/>
      <c r="AD253" s="562"/>
      <c r="AE253" s="562"/>
    </row>
    <row s="1667" customFormat="1" customHeight="1" ht="11.25">
      <c r="A254" s="983"/>
      <c r="B254" s="1662"/>
      <c r="C254" s="1662"/>
      <c r="D254" s="339"/>
      <c r="K254" s="1156"/>
      <c r="L254" s="1662"/>
      <c r="M254" s="1662"/>
      <c r="N254" s="1156"/>
      <c r="O254" s="1156"/>
      <c r="P254" s="1156"/>
      <c r="Q254" s="1156"/>
      <c r="R254" s="1662"/>
      <c r="S254" s="1156"/>
      <c r="T254" s="1156"/>
      <c r="U254" s="540"/>
      <c r="V254" s="1156"/>
      <c r="W254" s="1156"/>
      <c r="X254" s="1156"/>
      <c r="Y254" s="1156"/>
      <c r="Z254" s="1156"/>
      <c r="AA254" s="1658"/>
      <c r="AB254" s="562"/>
      <c r="AC254" s="562"/>
      <c r="AD254" s="562"/>
      <c r="AE254" s="562"/>
    </row>
    <row s="1667" customFormat="1" customHeight="1" ht="11.25">
      <c r="A255" s="983"/>
      <c r="B255" s="1662"/>
      <c r="C255" s="1662"/>
      <c r="D255" s="339"/>
      <c r="K255" s="1156"/>
      <c r="L255" s="1662"/>
      <c r="M255" s="1662"/>
      <c r="N255" s="1156"/>
      <c r="O255" s="1156"/>
      <c r="P255" s="1156"/>
      <c r="Q255" s="1156"/>
      <c r="R255" s="1662"/>
      <c r="S255" s="1156"/>
      <c r="T255" s="1156"/>
      <c r="U255" s="540"/>
      <c r="V255" s="1156"/>
      <c r="W255" s="1156"/>
      <c r="X255" s="1156"/>
      <c r="Y255" s="1156"/>
      <c r="Z255" s="1156"/>
      <c r="AA255" s="1658"/>
      <c r="AB255" s="562"/>
      <c r="AC255" s="562"/>
      <c r="AD255" s="562"/>
      <c r="AE255" s="562"/>
    </row>
    <row s="1667" customFormat="1" customHeight="1" ht="11.25">
      <c r="A256" s="983"/>
      <c r="B256" s="1662"/>
      <c r="C256" s="1662"/>
      <c r="D256" s="339"/>
      <c r="K256" s="1156"/>
      <c r="L256" s="1662"/>
      <c r="M256" s="1662"/>
      <c r="N256" s="1156"/>
      <c r="O256" s="1156"/>
      <c r="P256" s="1156"/>
      <c r="Q256" s="1156"/>
      <c r="R256" s="1662"/>
      <c r="S256" s="1156"/>
      <c r="T256" s="1156"/>
      <c r="U256" s="540"/>
      <c r="V256" s="1156"/>
      <c r="W256" s="1156"/>
      <c r="X256" s="1156"/>
      <c r="Y256" s="1156"/>
      <c r="Z256" s="1156"/>
      <c r="AA256" s="1658"/>
      <c r="AB256" s="562"/>
      <c r="AC256" s="562"/>
      <c r="AD256" s="562"/>
      <c r="AE256" s="562"/>
    </row>
    <row s="1667" customFormat="1" customHeight="1" ht="11.25">
      <c r="A257" s="983"/>
      <c r="B257" s="1662"/>
      <c r="C257" s="1662"/>
      <c r="D257" s="339"/>
      <c r="K257" s="1156"/>
      <c r="L257" s="1662"/>
      <c r="M257" s="1662"/>
      <c r="N257" s="1156"/>
      <c r="O257" s="1156"/>
      <c r="P257" s="1156"/>
      <c r="Q257" s="1156"/>
      <c r="R257" s="1662"/>
      <c r="S257" s="1156"/>
      <c r="T257" s="1156"/>
      <c r="U257" s="540"/>
      <c r="V257" s="1156"/>
      <c r="W257" s="1156"/>
      <c r="X257" s="1156"/>
      <c r="Y257" s="1156"/>
      <c r="Z257" s="1156"/>
      <c r="AA257" s="1658"/>
      <c r="AB257" s="562"/>
      <c r="AC257" s="562"/>
      <c r="AD257" s="562"/>
      <c r="AE257" s="562"/>
    </row>
    <row s="1667" customFormat="1" customHeight="1" ht="11.25">
      <c r="A258" s="983"/>
      <c r="B258" s="1662"/>
      <c r="C258" s="1662"/>
      <c r="D258" s="339"/>
      <c r="K258" s="1156"/>
      <c r="L258" s="1662"/>
      <c r="M258" s="1662"/>
      <c r="N258" s="1156"/>
      <c r="O258" s="1156"/>
      <c r="P258" s="1156"/>
      <c r="Q258" s="1156"/>
      <c r="R258" s="1662"/>
      <c r="S258" s="1156"/>
      <c r="T258" s="1156"/>
      <c r="U258" s="540"/>
      <c r="V258" s="1156"/>
      <c r="W258" s="1156"/>
      <c r="X258" s="1156"/>
      <c r="Y258" s="1156"/>
      <c r="Z258" s="1156"/>
      <c r="AA258" s="1658"/>
      <c r="AB258" s="562"/>
      <c r="AC258" s="562"/>
      <c r="AD258" s="562"/>
      <c r="AE258" s="562"/>
    </row>
    <row s="1667" customFormat="1" customHeight="1" ht="11.25">
      <c r="A259" s="983"/>
      <c r="B259" s="1662"/>
      <c r="C259" s="1662"/>
      <c r="D259" s="339"/>
      <c r="K259" s="1156"/>
      <c r="L259" s="1662"/>
      <c r="M259" s="1662"/>
      <c r="N259" s="1156"/>
      <c r="O259" s="1156"/>
      <c r="P259" s="1156"/>
      <c r="Q259" s="1156"/>
      <c r="R259" s="1662"/>
      <c r="S259" s="1156"/>
      <c r="T259" s="1156"/>
      <c r="U259" s="540"/>
      <c r="V259" s="1156"/>
      <c r="W259" s="1156"/>
      <c r="X259" s="1156"/>
      <c r="Y259" s="1156"/>
      <c r="Z259" s="1156"/>
      <c r="AA259" s="1658"/>
      <c r="AB259" s="562"/>
      <c r="AC259" s="562"/>
      <c r="AD259" s="562"/>
      <c r="AE259" s="562"/>
    </row>
    <row s="1667" customFormat="1" customHeight="1" ht="11.25">
      <c r="A260" s="983"/>
      <c r="B260" s="1662"/>
      <c r="C260" s="1662"/>
      <c r="D260" s="339"/>
      <c r="K260" s="1156"/>
      <c r="L260" s="1662"/>
      <c r="M260" s="1662"/>
      <c r="N260" s="1156"/>
      <c r="O260" s="1156"/>
      <c r="P260" s="1156"/>
      <c r="Q260" s="1156"/>
      <c r="R260" s="1662"/>
      <c r="S260" s="1156"/>
      <c r="T260" s="1156"/>
      <c r="U260" s="540"/>
      <c r="V260" s="1156"/>
      <c r="W260" s="1156"/>
      <c r="X260" s="1156"/>
      <c r="Y260" s="1156"/>
      <c r="Z260" s="1156"/>
      <c r="AA260" s="1658"/>
      <c r="AB260" s="562"/>
      <c r="AC260" s="562"/>
      <c r="AD260" s="562"/>
      <c r="AE260" s="562"/>
    </row>
    <row s="1667" customFormat="1" customHeight="1" ht="11.25">
      <c r="A261" s="983"/>
      <c r="B261" s="1662"/>
      <c r="C261" s="1662"/>
      <c r="D261" s="339"/>
      <c r="K261" s="1156"/>
      <c r="L261" s="1662"/>
      <c r="M261" s="1662"/>
      <c r="N261" s="1156"/>
      <c r="O261" s="1156"/>
      <c r="P261" s="1156"/>
      <c r="Q261" s="1156"/>
      <c r="R261" s="1662"/>
      <c r="S261" s="1156"/>
      <c r="T261" s="1156"/>
      <c r="U261" s="540"/>
      <c r="V261" s="1156"/>
      <c r="W261" s="1156"/>
      <c r="X261" s="1156"/>
      <c r="Y261" s="1156"/>
      <c r="Z261" s="1156"/>
      <c r="AA261" s="1658"/>
      <c r="AB261" s="562"/>
      <c r="AC261" s="562"/>
      <c r="AD261" s="562"/>
      <c r="AE261" s="562"/>
    </row>
    <row s="1667" customFormat="1" customHeight="1" ht="11.25">
      <c r="A262" s="983"/>
      <c r="B262" s="1662"/>
      <c r="C262" s="1662"/>
      <c r="D262" s="339"/>
      <c r="K262" s="1156"/>
      <c r="L262" s="1662"/>
      <c r="M262" s="1662"/>
      <c r="N262" s="1156"/>
      <c r="O262" s="1156"/>
      <c r="P262" s="1156"/>
      <c r="Q262" s="1156"/>
      <c r="R262" s="1662"/>
      <c r="S262" s="1156"/>
      <c r="T262" s="1156"/>
      <c r="U262" s="540"/>
      <c r="V262" s="1156"/>
      <c r="W262" s="1156"/>
      <c r="X262" s="1156"/>
      <c r="Y262" s="1156"/>
      <c r="Z262" s="1156"/>
      <c r="AA262" s="1658"/>
      <c r="AB262" s="562"/>
      <c r="AC262" s="562"/>
      <c r="AD262" s="562"/>
      <c r="AE262" s="562"/>
    </row>
    <row s="1667" customFormat="1" customHeight="1" ht="11.25">
      <c r="A263" s="983"/>
      <c r="B263" s="1662"/>
      <c r="C263" s="1662"/>
      <c r="D263" s="339"/>
      <c r="K263" s="1156"/>
      <c r="L263" s="1662"/>
      <c r="M263" s="1662"/>
      <c r="N263" s="1156"/>
      <c r="O263" s="1156"/>
      <c r="P263" s="1156"/>
      <c r="Q263" s="1156"/>
      <c r="R263" s="1662"/>
      <c r="S263" s="1156"/>
      <c r="T263" s="1156"/>
      <c r="U263" s="540"/>
      <c r="V263" s="1156"/>
      <c r="W263" s="1156"/>
      <c r="X263" s="1156"/>
      <c r="Y263" s="1156"/>
      <c r="Z263" s="1156"/>
      <c r="AA263" s="1658"/>
      <c r="AB263" s="562"/>
      <c r="AC263" s="562"/>
      <c r="AD263" s="562"/>
      <c r="AE263" s="562"/>
    </row>
    <row s="1667" customFormat="1" customHeight="1" ht="11.25">
      <c r="A264" s="983"/>
      <c r="B264" s="1662"/>
      <c r="C264" s="1662"/>
      <c r="D264" s="339"/>
      <c r="K264" s="1156"/>
      <c r="L264" s="1662"/>
      <c r="M264" s="1662"/>
      <c r="N264" s="1156"/>
      <c r="O264" s="1156"/>
      <c r="P264" s="1156"/>
      <c r="Q264" s="1156"/>
      <c r="R264" s="1662"/>
      <c r="S264" s="1156"/>
      <c r="T264" s="1156"/>
      <c r="U264" s="540"/>
      <c r="V264" s="1156"/>
      <c r="W264" s="1156"/>
      <c r="X264" s="1156"/>
      <c r="Y264" s="1156"/>
      <c r="Z264" s="1156"/>
      <c r="AA264" s="1658"/>
      <c r="AB264" s="562"/>
      <c r="AC264" s="562"/>
      <c r="AD264" s="562"/>
      <c r="AE264" s="562"/>
    </row>
    <row s="1667" customFormat="1" customHeight="1" ht="11.25">
      <c r="A265" s="983"/>
      <c r="B265" s="1662"/>
      <c r="C265" s="1662"/>
      <c r="D265" s="339"/>
      <c r="K265" s="1156"/>
      <c r="L265" s="1662"/>
      <c r="M265" s="1662"/>
      <c r="N265" s="1156"/>
      <c r="O265" s="1156"/>
      <c r="P265" s="1156"/>
      <c r="Q265" s="1156"/>
      <c r="R265" s="1662"/>
      <c r="S265" s="1156"/>
      <c r="T265" s="1156"/>
      <c r="U265" s="540"/>
      <c r="V265" s="1156"/>
      <c r="W265" s="1156"/>
      <c r="X265" s="1156"/>
      <c r="Y265" s="1156"/>
      <c r="Z265" s="1156"/>
      <c r="AA265" s="1658"/>
      <c r="AB265" s="562"/>
      <c r="AC265" s="562"/>
      <c r="AD265" s="562"/>
      <c r="AE265" s="562"/>
    </row>
    <row s="1667" customFormat="1" customHeight="1" ht="11.25">
      <c r="A266" s="983"/>
      <c r="B266" s="1662"/>
      <c r="C266" s="1662"/>
      <c r="D266" s="339"/>
      <c r="K266" s="1156"/>
      <c r="L266" s="1662"/>
      <c r="M266" s="1662"/>
      <c r="N266" s="1156"/>
      <c r="O266" s="1156"/>
      <c r="P266" s="1156"/>
      <c r="Q266" s="1156"/>
      <c r="R266" s="1662"/>
      <c r="S266" s="1156"/>
      <c r="T266" s="1156"/>
      <c r="U266" s="540"/>
      <c r="V266" s="1156"/>
      <c r="W266" s="1156"/>
      <c r="X266" s="1156"/>
      <c r="Y266" s="1156"/>
      <c r="Z266" s="1156"/>
      <c r="AA266" s="1658"/>
      <c r="AB266" s="562"/>
      <c r="AC266" s="562"/>
      <c r="AD266" s="562"/>
      <c r="AE266" s="562"/>
    </row>
    <row s="1667" customFormat="1" customHeight="1" ht="11.25">
      <c r="A267" s="983"/>
      <c r="B267" s="1662"/>
      <c r="C267" s="1662"/>
      <c r="D267" s="339"/>
      <c r="K267" s="1156"/>
      <c r="L267" s="1662"/>
      <c r="M267" s="1662"/>
      <c r="N267" s="1156"/>
      <c r="O267" s="1156"/>
      <c r="P267" s="1156"/>
      <c r="Q267" s="1156"/>
      <c r="R267" s="1662"/>
      <c r="S267" s="1156"/>
      <c r="T267" s="1156"/>
      <c r="U267" s="540"/>
      <c r="V267" s="1156"/>
      <c r="W267" s="1156"/>
      <c r="X267" s="1156"/>
      <c r="Y267" s="1156"/>
      <c r="Z267" s="1156"/>
      <c r="AA267" s="1658"/>
      <c r="AB267" s="562"/>
      <c r="AC267" s="562"/>
      <c r="AD267" s="562"/>
      <c r="AE267" s="562"/>
    </row>
    <row s="1667" customFormat="1" customHeight="1" ht="11.25">
      <c r="A268" s="983"/>
      <c r="B268" s="1662"/>
      <c r="C268" s="1662"/>
      <c r="D268" s="339"/>
      <c r="K268" s="1156"/>
      <c r="L268" s="1662"/>
      <c r="M268" s="1662"/>
      <c r="N268" s="1156"/>
      <c r="O268" s="1156"/>
      <c r="P268" s="1156"/>
      <c r="Q268" s="1156"/>
      <c r="R268" s="1662"/>
      <c r="S268" s="1156"/>
      <c r="T268" s="1156"/>
      <c r="U268" s="540"/>
      <c r="V268" s="1156"/>
      <c r="W268" s="1156"/>
      <c r="X268" s="1156"/>
      <c r="Y268" s="1156"/>
      <c r="Z268" s="1156"/>
      <c r="AA268" s="1658"/>
      <c r="AB268" s="562"/>
      <c r="AC268" s="562"/>
      <c r="AD268" s="562"/>
      <c r="AE268" s="562"/>
    </row>
    <row s="1667" customFormat="1" customHeight="1" ht="11.25">
      <c r="A269" s="983"/>
      <c r="B269" s="1662"/>
      <c r="C269" s="1662"/>
      <c r="D269" s="339"/>
      <c r="K269" s="1156"/>
      <c r="L269" s="1662"/>
      <c r="M269" s="1662"/>
      <c r="N269" s="1156"/>
      <c r="O269" s="1156"/>
      <c r="P269" s="1156"/>
      <c r="Q269" s="1156"/>
      <c r="R269" s="1662"/>
      <c r="S269" s="1156"/>
      <c r="T269" s="1156"/>
      <c r="U269" s="540"/>
      <c r="V269" s="1156"/>
      <c r="W269" s="1156"/>
      <c r="X269" s="1156"/>
      <c r="Y269" s="1156"/>
      <c r="Z269" s="1156"/>
      <c r="AA269" s="1658"/>
      <c r="AB269" s="562"/>
      <c r="AC269" s="562"/>
      <c r="AD269" s="562"/>
      <c r="AE269" s="562"/>
    </row>
    <row s="1667" customFormat="1" customHeight="1" ht="11.25">
      <c r="A270" s="983"/>
      <c r="B270" s="1662"/>
      <c r="C270" s="1662"/>
      <c r="D270" s="339"/>
      <c r="K270" s="1156"/>
      <c r="L270" s="1662"/>
      <c r="M270" s="1662"/>
      <c r="N270" s="1156"/>
      <c r="O270" s="1156"/>
      <c r="P270" s="1156"/>
      <c r="Q270" s="1156"/>
      <c r="R270" s="1662"/>
      <c r="S270" s="1156"/>
      <c r="T270" s="1156"/>
      <c r="U270" s="540"/>
      <c r="V270" s="1156"/>
      <c r="W270" s="1156"/>
      <c r="X270" s="1156"/>
      <c r="Y270" s="1156"/>
      <c r="Z270" s="1156"/>
      <c r="AA270" s="1658"/>
      <c r="AB270" s="562"/>
      <c r="AC270" s="562"/>
      <c r="AD270" s="562"/>
      <c r="AE270" s="562"/>
    </row>
    <row s="1667" customFormat="1" customHeight="1" ht="11.25">
      <c r="A271" s="983"/>
      <c r="B271" s="1662"/>
      <c r="C271" s="1662"/>
      <c r="D271" s="339"/>
      <c r="K271" s="1156"/>
      <c r="L271" s="1662"/>
      <c r="M271" s="1662"/>
      <c r="N271" s="1156"/>
      <c r="O271" s="1156"/>
      <c r="P271" s="1156"/>
      <c r="Q271" s="1156"/>
      <c r="R271" s="1662"/>
      <c r="S271" s="1156"/>
      <c r="T271" s="1156"/>
      <c r="U271" s="540"/>
      <c r="V271" s="1156"/>
      <c r="W271" s="1156"/>
      <c r="X271" s="1156"/>
      <c r="Y271" s="1156"/>
      <c r="Z271" s="1156"/>
      <c r="AA271" s="1658"/>
      <c r="AB271" s="562"/>
      <c r="AC271" s="562"/>
      <c r="AD271" s="562"/>
      <c r="AE271" s="562"/>
    </row>
    <row s="1667" customFormat="1" customHeight="1" ht="11.25">
      <c r="A272" s="983"/>
      <c r="B272" s="1662"/>
      <c r="C272" s="1662"/>
      <c r="D272" s="339"/>
      <c r="K272" s="1156"/>
      <c r="L272" s="1662"/>
      <c r="M272" s="1662"/>
      <c r="N272" s="1156"/>
      <c r="O272" s="1156"/>
      <c r="P272" s="1156"/>
      <c r="Q272" s="1156"/>
      <c r="R272" s="1662"/>
      <c r="S272" s="1156"/>
      <c r="T272" s="1156"/>
      <c r="U272" s="540"/>
      <c r="V272" s="1156"/>
      <c r="W272" s="1156"/>
      <c r="X272" s="1156"/>
      <c r="Y272" s="1156"/>
      <c r="Z272" s="1156"/>
      <c r="AA272" s="1658"/>
      <c r="AB272" s="562"/>
      <c r="AC272" s="562"/>
      <c r="AD272" s="562"/>
      <c r="AE272" s="562"/>
    </row>
    <row s="1667" customFormat="1" customHeight="1" ht="11.25">
      <c r="A273" s="983"/>
      <c r="B273" s="1662"/>
      <c r="C273" s="1662"/>
      <c r="D273" s="339"/>
      <c r="K273" s="1156"/>
      <c r="L273" s="1662"/>
      <c r="M273" s="1662"/>
      <c r="N273" s="1156"/>
      <c r="O273" s="1156"/>
      <c r="P273" s="1156"/>
      <c r="Q273" s="1156"/>
      <c r="R273" s="1662"/>
      <c r="S273" s="1156"/>
      <c r="T273" s="1156"/>
      <c r="U273" s="540"/>
      <c r="V273" s="1156"/>
      <c r="W273" s="1156"/>
      <c r="X273" s="1156"/>
      <c r="Y273" s="1156"/>
      <c r="Z273" s="1156"/>
      <c r="AA273" s="1658"/>
      <c r="AB273" s="562"/>
      <c r="AC273" s="562"/>
      <c r="AD273" s="562"/>
      <c r="AE273" s="562"/>
    </row>
    <row s="1667" customFormat="1" customHeight="1" ht="11.25">
      <c r="A274" s="983"/>
      <c r="B274" s="1662"/>
      <c r="C274" s="1662"/>
      <c r="D274" s="339"/>
      <c r="K274" s="1156"/>
      <c r="L274" s="1662"/>
      <c r="M274" s="1662"/>
      <c r="N274" s="1156"/>
      <c r="O274" s="1156"/>
      <c r="P274" s="1156"/>
      <c r="Q274" s="1156"/>
      <c r="R274" s="1662"/>
      <c r="S274" s="1156"/>
      <c r="T274" s="1156"/>
      <c r="U274" s="540"/>
      <c r="V274" s="1156"/>
      <c r="W274" s="1156"/>
      <c r="X274" s="1156"/>
      <c r="Y274" s="1156"/>
      <c r="Z274" s="1156"/>
      <c r="AA274" s="1658"/>
      <c r="AB274" s="562"/>
      <c r="AC274" s="562"/>
      <c r="AD274" s="562"/>
      <c r="AE274" s="562"/>
    </row>
    <row s="1667" customFormat="1" customHeight="1" ht="11.25">
      <c r="A275" s="983"/>
      <c r="B275" s="1662"/>
      <c r="C275" s="1662"/>
      <c r="D275" s="339"/>
      <c r="K275" s="1156"/>
      <c r="L275" s="1662"/>
      <c r="M275" s="1662"/>
      <c r="N275" s="1156"/>
      <c r="O275" s="1156"/>
      <c r="P275" s="1156"/>
      <c r="Q275" s="1156"/>
      <c r="R275" s="1662"/>
      <c r="S275" s="1156"/>
      <c r="T275" s="1156"/>
      <c r="U275" s="540"/>
      <c r="V275" s="1156"/>
      <c r="W275" s="1156"/>
      <c r="X275" s="1156"/>
      <c r="Y275" s="1156"/>
      <c r="Z275" s="1156"/>
      <c r="AA275" s="1658"/>
      <c r="AB275" s="562"/>
      <c r="AC275" s="562"/>
      <c r="AD275" s="562"/>
      <c r="AE275" s="562"/>
    </row>
    <row s="1667" customFormat="1" customHeight="1" ht="11.25">
      <c r="A276" s="983"/>
      <c r="B276" s="1662"/>
      <c r="C276" s="1662"/>
      <c r="D276" s="339"/>
      <c r="K276" s="1156"/>
      <c r="L276" s="1662"/>
      <c r="M276" s="1662"/>
      <c r="N276" s="1156"/>
      <c r="O276" s="1156"/>
      <c r="P276" s="1156"/>
      <c r="Q276" s="1156"/>
      <c r="R276" s="1662"/>
      <c r="S276" s="1156"/>
      <c r="T276" s="1156"/>
      <c r="U276" s="540"/>
      <c r="V276" s="1156"/>
      <c r="W276" s="1156"/>
      <c r="X276" s="1156"/>
      <c r="Y276" s="1156"/>
      <c r="Z276" s="1156"/>
      <c r="AA276" s="1658"/>
      <c r="AB276" s="562"/>
      <c r="AC276" s="562"/>
      <c r="AD276" s="562"/>
      <c r="AE276" s="562"/>
    </row>
    <row s="1667" customFormat="1" customHeight="1" ht="11.25">
      <c r="A277" s="983"/>
      <c r="B277" s="1662"/>
      <c r="C277" s="1662"/>
      <c r="D277" s="339"/>
      <c r="K277" s="1156"/>
      <c r="L277" s="1662"/>
      <c r="M277" s="1662"/>
      <c r="N277" s="1156"/>
      <c r="O277" s="1156"/>
      <c r="P277" s="1156"/>
      <c r="Q277" s="1156"/>
      <c r="R277" s="1662"/>
      <c r="S277" s="1156"/>
      <c r="T277" s="1156"/>
      <c r="U277" s="540"/>
      <c r="V277" s="1156"/>
      <c r="W277" s="1156"/>
      <c r="X277" s="1156"/>
      <c r="Y277" s="1156"/>
      <c r="Z277" s="1156"/>
      <c r="AA277" s="1658"/>
      <c r="AB277" s="562"/>
      <c r="AC277" s="562"/>
      <c r="AD277" s="562"/>
      <c r="AE277" s="562"/>
    </row>
    <row s="1667" customFormat="1" customHeight="1" ht="11.25">
      <c r="A278" s="983"/>
      <c r="B278" s="1662"/>
      <c r="C278" s="1662"/>
      <c r="D278" s="339"/>
      <c r="K278" s="1156"/>
      <c r="L278" s="1662"/>
      <c r="M278" s="1662"/>
      <c r="N278" s="1156"/>
      <c r="O278" s="1156"/>
      <c r="P278" s="1156"/>
      <c r="Q278" s="1156"/>
      <c r="R278" s="1662"/>
      <c r="S278" s="1156"/>
      <c r="T278" s="1156"/>
      <c r="U278" s="540"/>
      <c r="V278" s="1156"/>
      <c r="W278" s="1156"/>
      <c r="X278" s="1156"/>
      <c r="Y278" s="1156"/>
      <c r="Z278" s="1156"/>
      <c r="AA278" s="1658"/>
      <c r="AB278" s="562"/>
      <c r="AC278" s="562"/>
      <c r="AD278" s="562"/>
      <c r="AE278" s="562"/>
    </row>
    <row s="1667" customFormat="1" customHeight="1" ht="11.25">
      <c r="A279" s="983"/>
      <c r="B279" s="1662"/>
      <c r="C279" s="1662"/>
      <c r="D279" s="339"/>
      <c r="K279" s="1156"/>
      <c r="L279" s="1662"/>
      <c r="M279" s="1662"/>
      <c r="N279" s="1156"/>
      <c r="O279" s="1156"/>
      <c r="P279" s="1156"/>
      <c r="Q279" s="1156"/>
      <c r="R279" s="1662"/>
      <c r="S279" s="1156"/>
      <c r="T279" s="1156"/>
      <c r="U279" s="540"/>
      <c r="V279" s="1156"/>
      <c r="W279" s="1156"/>
      <c r="X279" s="1156"/>
      <c r="Y279" s="1156"/>
      <c r="Z279" s="1156"/>
      <c r="AA279" s="1658"/>
      <c r="AB279" s="562"/>
      <c r="AC279" s="562"/>
      <c r="AD279" s="562"/>
      <c r="AE279" s="562"/>
    </row>
    <row s="1667" customFormat="1" customHeight="1" ht="11.25">
      <c r="A280" s="983"/>
      <c r="B280" s="1662"/>
      <c r="C280" s="1662"/>
      <c r="D280" s="339"/>
      <c r="K280" s="1156"/>
      <c r="L280" s="1662"/>
      <c r="M280" s="1662"/>
      <c r="N280" s="1156"/>
      <c r="O280" s="1156"/>
      <c r="P280" s="1156"/>
      <c r="Q280" s="1156"/>
      <c r="R280" s="1662"/>
      <c r="S280" s="1156"/>
      <c r="T280" s="1156"/>
      <c r="U280" s="540"/>
      <c r="V280" s="1156"/>
      <c r="W280" s="1156"/>
      <c r="X280" s="1156"/>
      <c r="Y280" s="1156"/>
      <c r="Z280" s="1156"/>
      <c r="AA280" s="1658"/>
      <c r="AB280" s="562"/>
      <c r="AC280" s="562"/>
      <c r="AD280" s="562"/>
      <c r="AE280" s="562"/>
    </row>
    <row s="1667" customFormat="1" customHeight="1" ht="11.25">
      <c r="A281" s="983"/>
      <c r="B281" s="1662"/>
      <c r="C281" s="1662"/>
      <c r="D281" s="339"/>
      <c r="K281" s="1156"/>
      <c r="L281" s="1662"/>
      <c r="M281" s="1662"/>
      <c r="N281" s="1156"/>
      <c r="O281" s="1156"/>
      <c r="P281" s="1156"/>
      <c r="Q281" s="1156"/>
      <c r="R281" s="1662"/>
      <c r="S281" s="1156"/>
      <c r="T281" s="1156"/>
      <c r="U281" s="540"/>
      <c r="V281" s="1156"/>
      <c r="W281" s="1156"/>
      <c r="X281" s="1156"/>
      <c r="Y281" s="1156"/>
      <c r="Z281" s="1156"/>
      <c r="AA281" s="1658"/>
      <c r="AB281" s="562"/>
      <c r="AC281" s="562"/>
      <c r="AD281" s="562"/>
      <c r="AE281" s="562"/>
    </row>
    <row s="1667" customFormat="1" customHeight="1" ht="11.25">
      <c r="A282" s="983"/>
      <c r="B282" s="1662"/>
      <c r="C282" s="1662"/>
      <c r="D282" s="339"/>
      <c r="K282" s="1156"/>
      <c r="L282" s="1662"/>
      <c r="M282" s="1662"/>
      <c r="N282" s="1156"/>
      <c r="O282" s="1156"/>
      <c r="P282" s="1156"/>
      <c r="Q282" s="1156"/>
      <c r="R282" s="1662"/>
      <c r="S282" s="1156"/>
      <c r="T282" s="1156"/>
      <c r="U282" s="540"/>
      <c r="V282" s="1156"/>
      <c r="W282" s="1156"/>
      <c r="X282" s="1156"/>
      <c r="Y282" s="1156"/>
      <c r="Z282" s="1156"/>
      <c r="AA282" s="1658"/>
      <c r="AB282" s="562"/>
      <c r="AC282" s="562"/>
      <c r="AD282" s="562"/>
      <c r="AE282" s="562"/>
    </row>
    <row s="1667" customFormat="1" customHeight="1" ht="11.25">
      <c r="A283" s="983"/>
      <c r="B283" s="1662"/>
      <c r="C283" s="1662"/>
      <c r="D283" s="339"/>
      <c r="K283" s="1156"/>
      <c r="L283" s="1662"/>
      <c r="M283" s="1662"/>
      <c r="N283" s="1156"/>
      <c r="O283" s="1156"/>
      <c r="P283" s="1156"/>
      <c r="Q283" s="1156"/>
      <c r="R283" s="1662"/>
      <c r="S283" s="1156"/>
      <c r="T283" s="1156"/>
      <c r="U283" s="540"/>
      <c r="V283" s="1156"/>
      <c r="W283" s="1156"/>
      <c r="X283" s="1156"/>
      <c r="Y283" s="1156"/>
      <c r="Z283" s="1156"/>
      <c r="AA283" s="1658"/>
      <c r="AB283" s="562"/>
      <c r="AC283" s="562"/>
      <c r="AD283" s="562"/>
      <c r="AE283" s="562"/>
    </row>
    <row s="1667" customFormat="1" customHeight="1" ht="11.25">
      <c r="A284" s="983"/>
      <c r="B284" s="1662"/>
      <c r="C284" s="1662"/>
      <c r="D284" s="339"/>
      <c r="K284" s="1156"/>
      <c r="L284" s="1662"/>
      <c r="M284" s="1662"/>
      <c r="N284" s="1156"/>
      <c r="O284" s="1156"/>
      <c r="P284" s="1156"/>
      <c r="Q284" s="1156"/>
      <c r="R284" s="1662"/>
      <c r="S284" s="1156"/>
      <c r="T284" s="1156"/>
      <c r="U284" s="540"/>
      <c r="V284" s="1156"/>
      <c r="W284" s="1156"/>
      <c r="X284" s="1156"/>
      <c r="Y284" s="1156"/>
      <c r="Z284" s="1156"/>
      <c r="AA284" s="1658"/>
      <c r="AB284" s="562"/>
      <c r="AC284" s="562"/>
      <c r="AD284" s="562"/>
      <c r="AE284" s="562"/>
    </row>
    <row s="1667" customFormat="1" customHeight="1" ht="11.25">
      <c r="A285" s="983"/>
      <c r="B285" s="1662"/>
      <c r="C285" s="1662"/>
      <c r="D285" s="339"/>
      <c r="K285" s="1156"/>
      <c r="L285" s="1662"/>
      <c r="M285" s="1662"/>
      <c r="N285" s="1156"/>
      <c r="O285" s="1156"/>
      <c r="P285" s="1156"/>
      <c r="Q285" s="1156"/>
      <c r="R285" s="1662"/>
      <c r="S285" s="1156"/>
      <c r="T285" s="1156"/>
      <c r="U285" s="540"/>
      <c r="V285" s="1156"/>
      <c r="W285" s="1156"/>
      <c r="X285" s="1156"/>
      <c r="Y285" s="1156"/>
      <c r="Z285" s="1156"/>
      <c r="AA285" s="1658"/>
      <c r="AB285" s="562"/>
      <c r="AC285" s="562"/>
      <c r="AD285" s="562"/>
      <c r="AE285" s="562"/>
    </row>
    <row s="1667" customFormat="1" customHeight="1" ht="11.25">
      <c r="A286" s="983"/>
      <c r="B286" s="1662"/>
      <c r="C286" s="1662"/>
      <c r="D286" s="339"/>
      <c r="K286" s="1156"/>
      <c r="L286" s="1662"/>
      <c r="M286" s="1662"/>
      <c r="N286" s="1156"/>
      <c r="O286" s="1156"/>
      <c r="P286" s="1156"/>
      <c r="Q286" s="1156"/>
      <c r="R286" s="1662"/>
      <c r="S286" s="1156"/>
      <c r="T286" s="1156"/>
      <c r="U286" s="540"/>
      <c r="V286" s="1156"/>
      <c r="W286" s="1156"/>
      <c r="X286" s="1156"/>
      <c r="Y286" s="1156"/>
      <c r="Z286" s="1156"/>
      <c r="AA286" s="1658"/>
      <c r="AB286" s="562"/>
      <c r="AC286" s="562"/>
      <c r="AD286" s="562"/>
      <c r="AE286" s="562"/>
    </row>
    <row s="1667" customFormat="1" customHeight="1" ht="11.25">
      <c r="A287" s="983"/>
      <c r="B287" s="1662"/>
      <c r="C287" s="1662"/>
      <c r="D287" s="339"/>
      <c r="K287" s="1156"/>
      <c r="L287" s="1662"/>
      <c r="M287" s="1662"/>
      <c r="N287" s="1156"/>
      <c r="O287" s="1156"/>
      <c r="P287" s="1156"/>
      <c r="Q287" s="1156"/>
      <c r="R287" s="1662"/>
      <c r="S287" s="1156"/>
      <c r="T287" s="1156"/>
      <c r="U287" s="540"/>
      <c r="V287" s="1156"/>
      <c r="W287" s="1156"/>
      <c r="X287" s="1156"/>
      <c r="Y287" s="1156"/>
      <c r="Z287" s="1156"/>
      <c r="AA287" s="1658"/>
      <c r="AB287" s="562"/>
      <c r="AC287" s="562"/>
      <c r="AD287" s="562"/>
      <c r="AE287" s="562"/>
    </row>
    <row s="1667" customFormat="1" customHeight="1" ht="11.25">
      <c r="A288" s="983"/>
      <c r="B288" s="1662"/>
      <c r="C288" s="1662"/>
      <c r="D288" s="339"/>
      <c r="K288" s="1156"/>
      <c r="L288" s="1662"/>
      <c r="M288" s="1662"/>
      <c r="N288" s="1156"/>
      <c r="O288" s="1156"/>
      <c r="P288" s="1156"/>
      <c r="Q288" s="1156"/>
      <c r="R288" s="1662"/>
      <c r="S288" s="1156"/>
      <c r="T288" s="1156"/>
      <c r="U288" s="540"/>
      <c r="V288" s="1156"/>
      <c r="W288" s="1156"/>
      <c r="X288" s="1156"/>
      <c r="Y288" s="1156"/>
      <c r="Z288" s="1156"/>
      <c r="AA288" s="1658"/>
      <c r="AB288" s="562"/>
      <c r="AC288" s="562"/>
      <c r="AD288" s="562"/>
      <c r="AE288" s="562"/>
    </row>
    <row r="292" customHeight="1" ht="11.25">
      <c r="A292" s="986"/>
      <c r="B292" s="1657"/>
      <c r="D292" s="1657"/>
      <c r="K292" s="1657"/>
      <c r="N292" s="1657"/>
      <c r="O292" s="1657"/>
      <c r="P292" s="1657"/>
      <c r="Q292" s="1657"/>
      <c r="S292" s="1657"/>
      <c r="T292" s="1657"/>
      <c r="U292" s="1657"/>
      <c r="V292" s="1657"/>
      <c r="W292" s="1657"/>
      <c r="X292" s="1657"/>
      <c r="Y292" s="1657"/>
      <c r="Z292" s="1657"/>
      <c r="AA292" s="1657"/>
      <c r="AB292" s="1657"/>
      <c r="AC292" s="1657"/>
      <c r="AD292" s="1657"/>
      <c r="AE292" s="1657"/>
    </row>
    <row customHeight="1" ht="11.25">
      <c r="A293" s="986"/>
      <c r="B293" s="1657"/>
      <c r="D293" s="1657"/>
      <c r="K293" s="1657"/>
      <c r="N293" s="1657"/>
      <c r="O293" s="1657"/>
      <c r="P293" s="1657"/>
      <c r="Q293" s="1657"/>
      <c r="S293" s="1657"/>
      <c r="T293" s="1657"/>
      <c r="U293" s="1657"/>
      <c r="V293" s="1657"/>
      <c r="W293" s="1657"/>
      <c r="X293" s="1657"/>
      <c r="Y293" s="1657"/>
      <c r="Z293" s="1657"/>
      <c r="AA293" s="1657"/>
      <c r="AB293" s="1657"/>
      <c r="AC293" s="1657"/>
      <c r="AD293" s="1657"/>
      <c r="AE293" s="1657"/>
    </row>
    <row customHeight="1" ht="11.25">
      <c r="A294" s="986"/>
      <c r="B294" s="1657"/>
      <c r="D294" s="1657"/>
      <c r="K294" s="1657"/>
      <c r="N294" s="1657"/>
      <c r="O294" s="1657"/>
      <c r="P294" s="1657"/>
      <c r="Q294" s="1657"/>
      <c r="S294" s="1657"/>
      <c r="T294" s="1657"/>
      <c r="U294" s="1657"/>
      <c r="V294" s="1657"/>
      <c r="W294" s="1657"/>
      <c r="X294" s="1657"/>
      <c r="Y294" s="1657"/>
      <c r="Z294" s="1657"/>
      <c r="AA294" s="1657"/>
      <c r="AB294" s="1657"/>
      <c r="AC294" s="1657"/>
      <c r="AD294" s="1657"/>
      <c r="AE294" s="1657"/>
    </row>
    <row customHeight="1" ht="11.25">
      <c r="A295" s="986"/>
      <c r="B295" s="1657"/>
      <c r="D295" s="1657"/>
      <c r="K295" s="1657"/>
      <c r="N295" s="1657"/>
      <c r="O295" s="1657"/>
      <c r="P295" s="1657"/>
      <c r="Q295" s="1657"/>
      <c r="S295" s="1657"/>
      <c r="T295" s="1657"/>
      <c r="U295" s="1657"/>
      <c r="V295" s="1657"/>
      <c r="W295" s="1657"/>
      <c r="X295" s="1657"/>
      <c r="Y295" s="1657"/>
      <c r="Z295" s="1657"/>
      <c r="AA295" s="1657"/>
      <c r="AB295" s="1657"/>
      <c r="AC295" s="1657"/>
      <c r="AD295" s="1657"/>
      <c r="AE295" s="1657"/>
    </row>
    <row customHeight="1" ht="11.25">
      <c r="A296" s="986"/>
      <c r="B296" s="1657"/>
      <c r="D296" s="1657"/>
      <c r="K296" s="1657"/>
      <c r="N296" s="1657"/>
      <c r="O296" s="1657"/>
      <c r="P296" s="1657"/>
      <c r="Q296" s="1657"/>
      <c r="S296" s="1657"/>
      <c r="T296" s="1657"/>
      <c r="U296" s="1657"/>
      <c r="V296" s="1657"/>
      <c r="W296" s="1657"/>
      <c r="X296" s="1657"/>
      <c r="Y296" s="1657"/>
      <c r="Z296" s="1657"/>
      <c r="AA296" s="1657"/>
      <c r="AB296" s="1657"/>
      <c r="AC296" s="1657"/>
      <c r="AD296" s="1657"/>
      <c r="AE296" s="1657"/>
    </row>
    <row customHeight="1" ht="11.25">
      <c r="A297" s="986"/>
      <c r="B297" s="1657"/>
      <c r="D297" s="1657"/>
      <c r="K297" s="1657"/>
      <c r="N297" s="1657"/>
      <c r="O297" s="1657"/>
      <c r="P297" s="1657"/>
      <c r="Q297" s="1657"/>
      <c r="S297" s="1657"/>
      <c r="T297" s="1657"/>
      <c r="U297" s="1657"/>
      <c r="V297" s="1657"/>
      <c r="W297" s="1657"/>
      <c r="X297" s="1657"/>
      <c r="Y297" s="1657"/>
      <c r="Z297" s="1657"/>
      <c r="AA297" s="1657"/>
      <c r="AB297" s="1657"/>
      <c r="AC297" s="1657"/>
      <c r="AD297" s="1657"/>
      <c r="AE297" s="1657"/>
    </row>
    <row customHeight="1" ht="11.25">
      <c r="A298" s="986"/>
      <c r="B298" s="1657"/>
      <c r="D298" s="1657"/>
      <c r="K298" s="1657"/>
      <c r="N298" s="1657"/>
      <c r="O298" s="1657"/>
      <c r="P298" s="1657"/>
      <c r="Q298" s="1657"/>
      <c r="S298" s="1657"/>
      <c r="T298" s="1657"/>
      <c r="U298" s="1657"/>
      <c r="V298" s="1657"/>
      <c r="W298" s="1657"/>
      <c r="X298" s="1657"/>
      <c r="Y298" s="1657"/>
      <c r="Z298" s="1657"/>
      <c r="AA298" s="1657"/>
      <c r="AB298" s="1657"/>
      <c r="AC298" s="1657"/>
      <c r="AD298" s="1657"/>
      <c r="AE298" s="1657"/>
    </row>
    <row customHeight="1" ht="11.25">
      <c r="A299" s="986"/>
      <c r="B299" s="1657"/>
      <c r="D299" s="1657"/>
      <c r="K299" s="1657"/>
      <c r="N299" s="1657"/>
      <c r="O299" s="1657"/>
      <c r="P299" s="1657"/>
      <c r="Q299" s="1657"/>
      <c r="S299" s="1657"/>
      <c r="T299" s="1657"/>
      <c r="U299" s="1657"/>
      <c r="V299" s="1657"/>
      <c r="W299" s="1657"/>
      <c r="X299" s="1657"/>
      <c r="Y299" s="1657"/>
      <c r="Z299" s="1657"/>
      <c r="AA299" s="1657"/>
      <c r="AB299" s="1657"/>
      <c r="AC299" s="1657"/>
      <c r="AD299" s="1657"/>
      <c r="AE299" s="1657"/>
    </row>
    <row customHeight="1" ht="11.25">
      <c r="A300" s="986"/>
      <c r="B300" s="1657"/>
      <c r="D300" s="1657"/>
      <c r="K300" s="1657"/>
      <c r="N300" s="1657"/>
      <c r="O300" s="1657"/>
      <c r="P300" s="1657"/>
      <c r="Q300" s="1657"/>
      <c r="S300" s="1657"/>
      <c r="T300" s="1657"/>
      <c r="U300" s="1657"/>
      <c r="V300" s="1657"/>
      <c r="W300" s="1657"/>
      <c r="X300" s="1657"/>
      <c r="Y300" s="1657"/>
      <c r="Z300" s="1657"/>
      <c r="AA300" s="1657"/>
      <c r="AB300" s="1657"/>
      <c r="AC300" s="1657"/>
      <c r="AD300" s="1657"/>
      <c r="AE300" s="1657"/>
    </row>
    <row customHeight="1" ht="11.25">
      <c r="A301" s="986"/>
      <c r="B301" s="1657"/>
      <c r="D301" s="1657"/>
      <c r="K301" s="1657"/>
      <c r="N301" s="1657"/>
      <c r="O301" s="1657"/>
      <c r="P301" s="1657"/>
      <c r="Q301" s="1657"/>
      <c r="S301" s="1657"/>
      <c r="T301" s="1657"/>
      <c r="U301" s="1657"/>
      <c r="V301" s="1657"/>
      <c r="W301" s="1657"/>
      <c r="X301" s="1657"/>
      <c r="Y301" s="1657"/>
      <c r="Z301" s="1657"/>
      <c r="AA301" s="1657"/>
      <c r="AB301" s="1657"/>
      <c r="AC301" s="1657"/>
      <c r="AD301" s="1657"/>
      <c r="AE301" s="1657"/>
    </row>
    <row customHeight="1" ht="11.25">
      <c r="A302" s="986"/>
      <c r="B302" s="1657"/>
      <c r="D302" s="1657"/>
      <c r="K302" s="1657"/>
      <c r="N302" s="1657"/>
      <c r="O302" s="1657"/>
      <c r="P302" s="1657"/>
      <c r="Q302" s="1657"/>
      <c r="S302" s="1657"/>
      <c r="T302" s="1657"/>
      <c r="U302" s="1657"/>
      <c r="V302" s="1657"/>
      <c r="W302" s="1657"/>
      <c r="X302" s="1657"/>
      <c r="Y302" s="1657"/>
      <c r="Z302" s="1657"/>
      <c r="AA302" s="1657"/>
      <c r="AB302" s="1657"/>
      <c r="AC302" s="1657"/>
      <c r="AD302" s="1657"/>
      <c r="AE302" s="165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31F6D-2452-9051-63EC-A4BC6FF9DAAE}"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6"/>
      <c r="G5" s="2066"/>
      <c r="H5" s="2066"/>
      <c r="I5" s="2066"/>
      <c r="J5" s="2066"/>
      <c r="K5" s="2066"/>
      <c r="L5" s="609"/>
      <c r="M5" s="609"/>
    </row>
    <row s="1661" customFormat="1" customHeight="1" ht="16.5">
      <c r="A6" s="606"/>
      <c r="B6" s="755"/>
      <c r="C6" s="505"/>
      <c r="D6" s="1054"/>
      <c r="E6" s="2034" t="str">
        <f>IF(org=0,"Не определено",org)</f>
        <v>ИМУП «ПОСЖИЛКОМСЕРВИС»</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284</v>
      </c>
      <c r="F9" s="1937"/>
      <c r="G9" s="1937"/>
      <c r="H9" s="1937"/>
      <c r="I9" s="1937"/>
      <c r="J9" s="1937"/>
      <c r="K9" s="1937"/>
      <c r="L9" s="1937"/>
      <c r="M9" s="1937"/>
      <c r="N9" s="1937"/>
      <c r="O9" s="1937"/>
      <c r="P9" s="1937"/>
      <c r="Q9" s="1937"/>
      <c r="R9" s="1938"/>
      <c r="S9" s="1952" t="s">
        <v>285</v>
      </c>
      <c r="T9" s="322"/>
    </row>
    <row customHeight="1" ht="33.75">
      <c r="D10" s="547" t="s">
        <v>84</v>
      </c>
      <c r="E10" s="1952" t="s">
        <v>84</v>
      </c>
      <c r="F10" s="1952"/>
      <c r="G10" s="517" t="s">
        <v>286</v>
      </c>
      <c r="H10" s="1952" t="s">
        <v>84</v>
      </c>
      <c r="I10" s="1952"/>
      <c r="J10" s="517" t="s">
        <v>580</v>
      </c>
      <c r="K10" s="517" t="s">
        <v>581</v>
      </c>
      <c r="L10" s="1952" t="s">
        <v>84</v>
      </c>
      <c r="M10" s="1952"/>
      <c r="N10" s="517" t="s">
        <v>582</v>
      </c>
      <c r="O10" s="517" t="s">
        <v>583</v>
      </c>
      <c r="P10" s="517" t="s">
        <v>584</v>
      </c>
      <c r="Q10" s="517" t="s">
        <v>585</v>
      </c>
      <c r="R10" s="517" t="s">
        <v>586</v>
      </c>
      <c r="S10" s="1952"/>
      <c r="T10" s="322"/>
    </row>
    <row s="1668" customFormat="1" customHeight="1" ht="15" hidden="1">
      <c r="A11" s="1048"/>
      <c r="D11" s="1021" t="s">
        <v>106</v>
      </c>
      <c r="E11" s="1021"/>
      <c r="F11" s="1021" t="s">
        <v>107</v>
      </c>
      <c r="G11" s="1021" t="s">
        <v>86</v>
      </c>
      <c r="H11" s="1021"/>
      <c r="I11" s="1021" t="s">
        <v>87</v>
      </c>
      <c r="J11" s="1021" t="s">
        <v>108</v>
      </c>
      <c r="K11" s="1021" t="s">
        <v>88</v>
      </c>
      <c r="L11" s="1021"/>
      <c r="M11" s="1021" t="s">
        <v>89</v>
      </c>
      <c r="N11" s="1021" t="s">
        <v>109</v>
      </c>
      <c r="O11" s="1021" t="s">
        <v>146</v>
      </c>
      <c r="P11" s="1021" t="s">
        <v>147</v>
      </c>
      <c r="Q11" s="1021" t="s">
        <v>148</v>
      </c>
      <c r="R11" s="1021" t="s">
        <v>149</v>
      </c>
      <c r="S11" s="1021" t="s">
        <v>150</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362</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114</v>
      </c>
      <c r="B14" s="0"/>
      <c r="C14" s="0"/>
      <c r="D14" s="2204" t="s">
        <v>106</v>
      </c>
      <c r="E14" s="2212" t="s">
        <v>102</v>
      </c>
      <c r="F14" s="2213"/>
      <c r="G14" s="2214"/>
      <c r="H14" s="2207" t="str">
        <f>IF(A14="","",INDEX(DIFFERENTIATION_UNMERGE_VD,MATCH(A14,DIFFERENTIATION_ID_DIFF,0)))</f>
        <v>Горячее водоснабжение</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587</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542</v>
      </c>
      <c r="F15" s="2213"/>
      <c r="G15" s="2214"/>
      <c r="H15" s="2207" t="str">
        <f>IF(A14="","",INDEX(DIFFERENTIATION_UNMERGE_AREA,MATCH(A14,DIFFERENTIATION_ID_DIFF,0)))</f>
        <v>Территория 1</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543</v>
      </c>
      <c r="F16" s="2213"/>
      <c r="G16" s="2214"/>
      <c r="H16" s="2207" t="str">
        <f>IF(A14="","",INDEX(DIFFERENTIATION_UNMERGE_SYSTEM,MATCH(A14,DIFFERENTIATION_ID_DIFF,0)))</f>
        <v>без дифференциации</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588</v>
      </c>
      <c r="F17" s="2209"/>
      <c r="G17" s="2209"/>
      <c r="H17" s="2209"/>
      <c r="I17" s="2209"/>
      <c r="J17" s="2209"/>
      <c r="K17" s="2209"/>
      <c r="L17" s="2209"/>
      <c r="M17" s="2209"/>
      <c r="N17" s="2209"/>
      <c r="O17" s="2209"/>
      <c r="P17" s="2209"/>
      <c r="Q17" s="554">
        <f>SUMIF(T18:T19,"i",Q18:Q19)</f>
        <v>0</v>
      </c>
      <c r="R17" s="1013"/>
      <c r="S17" s="892" t="s">
        <v>589</v>
      </c>
      <c r="T17" s="712" t="s">
        <v>590</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591</v>
      </c>
      <c r="F20" s="2209"/>
      <c r="G20" s="2209"/>
      <c r="H20" s="2209"/>
      <c r="I20" s="2209"/>
      <c r="J20" s="2209"/>
      <c r="K20" s="2209"/>
      <c r="L20" s="2209"/>
      <c r="M20" s="2209"/>
      <c r="N20" s="2209"/>
      <c r="O20" s="2209"/>
      <c r="P20" s="2209"/>
      <c r="Q20" s="554">
        <f>SUMIF(T21:T22,"i",Q21:Q22)</f>
        <v>0</v>
      </c>
      <c r="R20" s="1013"/>
      <c r="S20" s="704" t="s">
        <v>592</v>
      </c>
      <c r="T20" s="712" t="s">
        <v>590</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3"/>
      <c r="E23" s="1043"/>
      <c r="F23" s="1043"/>
      <c r="G23" s="1043"/>
      <c r="H23" s="1043"/>
      <c r="I23" s="1043"/>
      <c r="J23" s="1043"/>
      <c r="K23" s="1043"/>
      <c r="L23" s="1043"/>
      <c r="M23" s="1043"/>
      <c r="N23" s="1043"/>
      <c r="O23" s="1043"/>
      <c r="P23" s="1043"/>
      <c r="Q23" s="1043"/>
      <c r="R23" s="1043"/>
      <c r="S23" s="1043"/>
      <c r="T23" s="322"/>
    </row>
    <row customHeight="1" ht="11.25">
      <c r="D24" s="505"/>
    </row>
    <row customHeight="1" ht="11.25">
      <c r="D25" s="649"/>
      <c r="E25" s="649"/>
      <c r="F25" s="649"/>
      <c r="G25" s="650"/>
    </row>
    <row r="27" customHeight="1" ht="11.25">
      <c r="D27" s="651"/>
      <c r="E27" s="2208"/>
      <c r="F27" s="2208"/>
      <c r="G27" s="2208"/>
      <c r="H27" s="2208"/>
      <c r="I27" s="2208"/>
      <c r="J27" s="2208"/>
      <c r="K27" s="2208"/>
      <c r="L27" s="2208"/>
      <c r="M27" s="2208"/>
      <c r="N27" s="2208"/>
      <c r="O27" s="2208"/>
      <c r="P27" s="2208"/>
      <c r="Q27" s="2208"/>
      <c r="R27" s="2208"/>
    </row>
    <row customHeight="1" ht="11.25">
      <c r="F28" s="754"/>
      <c r="G28" s="75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82F67-5CE5-B468-B47E-72445AF35B9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530</v>
      </c>
      <c r="H2" s="537"/>
      <c r="I2" s="537"/>
      <c r="J2" s="538" t="s">
        <v>593</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594</v>
      </c>
      <c r="F6" s="2132"/>
      <c r="G6" s="2132"/>
      <c r="H6" s="2132"/>
      <c r="I6" s="2132"/>
      <c r="J6" s="552"/>
    </row>
    <row customHeight="1" ht="24">
      <c r="E7" s="2122" t="str">
        <f>IF(org=0,"Не определено",org)</f>
        <v>ИМУП «ПОСЖИЛКОМСЕРВИС»</v>
      </c>
      <c r="F7" s="2122"/>
      <c r="G7" s="2122"/>
      <c r="H7" s="2122"/>
      <c r="I7" s="2122"/>
    </row>
    <row customHeight="1" ht="11.25">
      <c r="E8" s="1131"/>
      <c r="F8" s="1131"/>
      <c r="G8" s="1131"/>
      <c r="H8" s="1131"/>
      <c r="I8" s="1131"/>
    </row>
    <row s="1668" customFormat="1" customHeight="1" ht="0.75">
      <c r="A9" s="1163"/>
      <c r="D9" s="1668"/>
      <c r="H9" s="884"/>
      <c r="I9" s="884" t="s">
        <v>114</v>
      </c>
    </row>
    <row customHeight="1" ht="11.25">
      <c r="E10" s="706"/>
      <c r="F10" s="2200" t="s">
        <v>102</v>
      </c>
      <c r="G10" s="2201"/>
      <c r="H10" s="1580" t="str">
        <f>IF(H9="","",INDEX(DIFFERENTIATION_UNMERGE_VD,MATCH(H9,DIFFERENTIATION_ID_DIFF,0)))</f>
        <v/>
      </c>
      <c r="I10" s="1580" t="str">
        <f>IF(I9="","",INDEX(DIFFERENTIATION_UNMERGE_VD,MATCH(I9,DIFFERENTIATION_ID_DIFF,0)))</f>
        <v>Горячее водоснабжение</v>
      </c>
      <c r="J10" s="1952"/>
    </row>
    <row customHeight="1" ht="11.25">
      <c r="E11" s="706"/>
      <c r="F11" s="2200" t="s">
        <v>542</v>
      </c>
      <c r="G11" s="2201"/>
      <c r="H11" s="1580" t="str">
        <f>IF(H9="","",INDEX(DIFFERENTIATION_UNMERGE_AREA,MATCH(H9,DIFFERENTIATION_ID_DIFF,0)))</f>
        <v/>
      </c>
      <c r="I11" s="1580" t="str">
        <f>IF(I9="","",INDEX(DIFFERENTIATION_UNMERGE_AREA,MATCH(I9,DIFFERENTIATION_ID_DIFF,0)))</f>
        <v>Территория 1</v>
      </c>
      <c r="J11" s="1952"/>
    </row>
    <row customHeight="1" ht="11.25" hidden="1">
      <c r="E12" s="1688"/>
      <c r="F12" s="2215" t="s">
        <v>543</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284</v>
      </c>
      <c r="F13" s="2203"/>
      <c r="G13" s="2203"/>
      <c r="H13" s="1579"/>
      <c r="I13" s="1579"/>
      <c r="J13" s="1952"/>
    </row>
    <row customHeight="1" ht="22.5">
      <c r="E14" s="1665" t="s">
        <v>84</v>
      </c>
      <c r="F14" s="1660" t="s">
        <v>286</v>
      </c>
      <c r="G14" s="1660" t="s">
        <v>544</v>
      </c>
      <c r="H14" s="1660" t="s">
        <v>287</v>
      </c>
      <c r="I14" s="1660" t="s">
        <v>287</v>
      </c>
      <c r="J14" s="1952"/>
    </row>
    <row customHeight="1" ht="18.75">
      <c r="D15" s="1664"/>
      <c r="E15" s="1656" t="s">
        <v>106</v>
      </c>
      <c r="F15" s="702" t="s">
        <v>595</v>
      </c>
      <c r="G15" s="1672" t="s">
        <v>530</v>
      </c>
      <c r="H15" s="553"/>
      <c r="I15" s="553"/>
      <c r="J15" s="270" t="s">
        <v>596</v>
      </c>
      <c r="K15" s="539" t="s">
        <v>597</v>
      </c>
    </row>
    <row customHeight="1" ht="33.75">
      <c r="D16" s="1664"/>
      <c r="E16" s="1656" t="s">
        <v>107</v>
      </c>
      <c r="F16" s="702" t="s">
        <v>598</v>
      </c>
      <c r="G16" s="1672" t="s">
        <v>530</v>
      </c>
      <c r="H16" s="554">
        <f>SUM(H17,H20:H32)</f>
        <v>0</v>
      </c>
      <c r="I16" s="554">
        <f>SUM(I17,I20:I32)</f>
        <v>0</v>
      </c>
      <c r="J16" s="270" t="s">
        <v>599</v>
      </c>
      <c r="K16" s="539" t="s">
        <v>597</v>
      </c>
    </row>
    <row customHeight="1" ht="18.75">
      <c r="D17" s="1664"/>
      <c r="E17" s="1690" t="s">
        <v>600</v>
      </c>
      <c r="F17" s="950" t="s">
        <v>601</v>
      </c>
      <c r="G17" s="1669" t="s">
        <v>530</v>
      </c>
      <c r="H17" s="553"/>
      <c r="I17" s="553"/>
      <c r="J17" s="270" t="s">
        <v>602</v>
      </c>
      <c r="K17" s="539"/>
    </row>
    <row customHeight="1" ht="22.5">
      <c r="D18" s="1664"/>
      <c r="E18" s="1690" t="s">
        <v>603</v>
      </c>
      <c r="F18" s="1676" t="s">
        <v>604</v>
      </c>
      <c r="G18" s="1669" t="s">
        <v>530</v>
      </c>
      <c r="H18" s="553"/>
      <c r="I18" s="553"/>
      <c r="J18" s="270" t="s">
        <v>605</v>
      </c>
      <c r="K18" s="539"/>
    </row>
    <row customHeight="1" ht="33.75">
      <c r="D19" s="1664"/>
      <c r="E19" s="1690" t="s">
        <v>606</v>
      </c>
      <c r="F19" s="1676" t="s">
        <v>607</v>
      </c>
      <c r="G19" s="1669" t="s">
        <v>530</v>
      </c>
      <c r="H19" s="553"/>
      <c r="I19" s="553"/>
      <c r="J19" s="270"/>
      <c r="K19" s="539"/>
    </row>
    <row customHeight="1" ht="18.75">
      <c r="D20" s="1664"/>
      <c r="E20" s="1690" t="s">
        <v>291</v>
      </c>
      <c r="F20" s="950" t="s">
        <v>608</v>
      </c>
      <c r="G20" s="1669" t="s">
        <v>530</v>
      </c>
      <c r="H20" s="553"/>
      <c r="I20" s="553"/>
      <c r="J20" s="270" t="s">
        <v>609</v>
      </c>
      <c r="K20" s="539"/>
    </row>
    <row customHeight="1" ht="18.75">
      <c r="D21" s="1664"/>
      <c r="E21" s="1690" t="s">
        <v>610</v>
      </c>
      <c r="F21" s="1676" t="s">
        <v>611</v>
      </c>
      <c r="G21" s="1669" t="s">
        <v>530</v>
      </c>
      <c r="H21" s="553"/>
      <c r="I21" s="553"/>
      <c r="J21" s="270"/>
      <c r="K21" s="539"/>
    </row>
    <row customHeight="1" ht="18.75">
      <c r="D22" s="1664"/>
      <c r="E22" s="1690" t="s">
        <v>612</v>
      </c>
      <c r="F22" s="1676" t="s">
        <v>613</v>
      </c>
      <c r="G22" s="1669" t="s">
        <v>530</v>
      </c>
      <c r="H22" s="553"/>
      <c r="I22" s="553"/>
      <c r="J22" s="270"/>
      <c r="K22" s="539"/>
    </row>
    <row customHeight="1" ht="22.5">
      <c r="D23" s="1664"/>
      <c r="E23" s="1690" t="s">
        <v>294</v>
      </c>
      <c r="F23" s="950" t="s">
        <v>614</v>
      </c>
      <c r="G23" s="1669" t="s">
        <v>530</v>
      </c>
      <c r="H23" s="553"/>
      <c r="I23" s="553"/>
      <c r="J23" s="270" t="s">
        <v>615</v>
      </c>
      <c r="K23" s="539"/>
    </row>
    <row customHeight="1" ht="18.75">
      <c r="D24" s="1664"/>
      <c r="E24" s="1690" t="s">
        <v>616</v>
      </c>
      <c r="F24" s="1676" t="s">
        <v>617</v>
      </c>
      <c r="G24" s="1669" t="s">
        <v>530</v>
      </c>
      <c r="H24" s="553"/>
      <c r="I24" s="553"/>
      <c r="J24" s="270"/>
      <c r="K24" s="539"/>
    </row>
    <row customHeight="1" ht="33.75">
      <c r="D25" s="1664"/>
      <c r="E25" s="1690" t="s">
        <v>618</v>
      </c>
      <c r="F25" s="1676" t="s">
        <v>619</v>
      </c>
      <c r="G25" s="1669" t="s">
        <v>530</v>
      </c>
      <c r="H25" s="553"/>
      <c r="I25" s="553"/>
      <c r="J25" s="270"/>
      <c r="K25" s="539"/>
    </row>
    <row customHeight="1" ht="22.5">
      <c r="D26" s="1664"/>
      <c r="E26" s="1690" t="s">
        <v>620</v>
      </c>
      <c r="F26" s="950" t="s">
        <v>621</v>
      </c>
      <c r="G26" s="1669" t="s">
        <v>530</v>
      </c>
      <c r="H26" s="553"/>
      <c r="I26" s="553"/>
      <c r="J26" s="270" t="s">
        <v>622</v>
      </c>
      <c r="K26" s="539"/>
    </row>
    <row customHeight="1" ht="18.75">
      <c r="D27" s="1664"/>
      <c r="E27" s="1701" t="s">
        <v>623</v>
      </c>
      <c r="F27" s="1676" t="s">
        <v>624</v>
      </c>
      <c r="G27" s="1680" t="s">
        <v>530</v>
      </c>
      <c r="H27" s="1702"/>
      <c r="I27" s="1702"/>
      <c r="J27" s="270"/>
      <c r="K27" s="539"/>
    </row>
    <row customHeight="1" ht="18.75">
      <c r="D28" s="1664"/>
      <c r="E28" s="1701" t="s">
        <v>625</v>
      </c>
      <c r="F28" s="1676" t="s">
        <v>626</v>
      </c>
      <c r="G28" s="1680" t="s">
        <v>530</v>
      </c>
      <c r="H28" s="1702"/>
      <c r="I28" s="1702"/>
      <c r="J28" s="270"/>
      <c r="K28" s="539"/>
    </row>
    <row customHeight="1" ht="18.75">
      <c r="D29" s="1664"/>
      <c r="E29" s="1701" t="s">
        <v>627</v>
      </c>
      <c r="F29" s="950" t="s">
        <v>628</v>
      </c>
      <c r="G29" s="1680" t="s">
        <v>530</v>
      </c>
      <c r="H29" s="1702"/>
      <c r="I29" s="1702"/>
      <c r="J29" s="270"/>
      <c r="K29" s="539"/>
    </row>
    <row customHeight="1" ht="18.75">
      <c r="D30" s="1664"/>
      <c r="E30" s="1701" t="s">
        <v>629</v>
      </c>
      <c r="F30" s="950" t="s">
        <v>630</v>
      </c>
      <c r="G30" s="1680" t="s">
        <v>530</v>
      </c>
      <c r="H30" s="1702"/>
      <c r="I30" s="1702"/>
      <c r="J30" s="270"/>
      <c r="K30" s="539"/>
    </row>
    <row customHeight="1" ht="18.75">
      <c r="D31" s="1664"/>
      <c r="E31" s="1701" t="s">
        <v>631</v>
      </c>
      <c r="F31" s="950" t="s">
        <v>632</v>
      </c>
      <c r="G31" s="1680" t="s">
        <v>530</v>
      </c>
      <c r="H31" s="1702"/>
      <c r="I31" s="1702"/>
      <c r="J31" s="270"/>
      <c r="K31" s="539"/>
    </row>
    <row s="1384" customFormat="1" customHeight="1" ht="22.5">
      <c r="A32" s="983"/>
      <c r="C32" s="1662"/>
      <c r="D32" s="1664"/>
      <c r="E32" s="1701" t="s">
        <v>633</v>
      </c>
      <c r="F32" s="950" t="s">
        <v>634</v>
      </c>
      <c r="G32" s="1670" t="s">
        <v>530</v>
      </c>
      <c r="H32" s="575">
        <f>SUM(H33:H34)</f>
        <v>0</v>
      </c>
      <c r="I32" s="575">
        <f>SUM(I33:I34)</f>
        <v>0</v>
      </c>
      <c r="J32" s="270" t="s">
        <v>635</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555</v>
      </c>
      <c r="G34" s="568"/>
      <c r="H34" s="569"/>
      <c r="I34" s="569"/>
      <c r="J34" s="281" t="s">
        <v>636</v>
      </c>
      <c r="K34" s="539"/>
      <c r="L34" s="1662"/>
      <c r="M34" s="1662"/>
      <c r="R34" s="1662"/>
      <c r="U34" s="540"/>
      <c r="AA34" s="1658"/>
      <c r="AB34" s="1658"/>
      <c r="AC34" s="1658"/>
      <c r="AD34" s="1658"/>
      <c r="AE34" s="1658"/>
    </row>
    <row customHeight="1" ht="56.25">
      <c r="D35" s="1664"/>
      <c r="E35" s="1701" t="s">
        <v>637</v>
      </c>
      <c r="F35" s="950" t="s">
        <v>638</v>
      </c>
      <c r="G35" s="1680" t="s">
        <v>530</v>
      </c>
      <c r="H35" s="1702"/>
      <c r="I35" s="1702"/>
      <c r="J35" s="270" t="s">
        <v>639</v>
      </c>
      <c r="K35" s="539"/>
    </row>
    <row s="1384" customFormat="1" customHeight="1" ht="22.5">
      <c r="A36" s="985" t="s">
        <v>556</v>
      </c>
      <c r="C36" s="1662"/>
      <c r="D36" s="1664"/>
      <c r="E36" s="1690" t="s">
        <v>86</v>
      </c>
      <c r="F36" s="702" t="s">
        <v>640</v>
      </c>
      <c r="G36" s="1669" t="s">
        <v>530</v>
      </c>
      <c r="H36" s="553"/>
      <c r="I36" s="553"/>
      <c r="J36" s="270" t="s">
        <v>641</v>
      </c>
      <c r="K36" s="539"/>
      <c r="L36" s="1662"/>
      <c r="M36" s="1662"/>
      <c r="R36" s="1662"/>
      <c r="U36" s="540"/>
      <c r="AA36" s="1658"/>
      <c r="AB36" s="1658"/>
      <c r="AC36" s="1658"/>
      <c r="AD36" s="1658"/>
      <c r="AE36" s="1658"/>
    </row>
    <row s="1384" customFormat="1" customHeight="1" ht="22.5">
      <c r="A37" s="985"/>
      <c r="C37" s="1662"/>
      <c r="D37" s="1664"/>
      <c r="E37" s="1690" t="s">
        <v>310</v>
      </c>
      <c r="F37" s="950" t="s">
        <v>642</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87</v>
      </c>
      <c r="F38" s="702" t="s">
        <v>643</v>
      </c>
      <c r="G38" s="1669" t="s">
        <v>530</v>
      </c>
      <c r="H38" s="553"/>
      <c r="I38" s="553"/>
      <c r="J38" s="270" t="s">
        <v>644</v>
      </c>
      <c r="K38" s="539"/>
      <c r="L38" s="1662"/>
      <c r="M38" s="1662"/>
      <c r="R38" s="1662"/>
      <c r="U38" s="540"/>
      <c r="AA38" s="1658"/>
      <c r="AB38" s="1658"/>
      <c r="AC38" s="1658"/>
      <c r="AD38" s="1658"/>
      <c r="AE38" s="1658"/>
    </row>
    <row s="1384" customFormat="1" customHeight="1" ht="22.5">
      <c r="A39" s="983"/>
      <c r="C39" s="1662"/>
      <c r="D39" s="571"/>
      <c r="E39" s="1690" t="s">
        <v>645</v>
      </c>
      <c r="F39" s="950" t="s">
        <v>646</v>
      </c>
      <c r="G39" s="1680" t="s">
        <v>530</v>
      </c>
      <c r="H39" s="553"/>
      <c r="I39" s="553"/>
      <c r="J39" s="270" t="s">
        <v>647</v>
      </c>
      <c r="K39" s="539"/>
      <c r="L39" s="1662"/>
      <c r="M39" s="1662"/>
      <c r="R39" s="1662"/>
      <c r="U39" s="540"/>
      <c r="AA39" s="1658"/>
      <c r="AB39" s="1658"/>
      <c r="AC39" s="1658"/>
      <c r="AD39" s="1658"/>
      <c r="AE39" s="1658"/>
    </row>
    <row s="1384" customFormat="1" customHeight="1" ht="22.5">
      <c r="A40" s="983"/>
      <c r="C40" s="1662"/>
      <c r="D40" s="1664"/>
      <c r="E40" s="1690" t="s">
        <v>648</v>
      </c>
      <c r="F40" s="1676" t="s">
        <v>649</v>
      </c>
      <c r="G40" s="1669" t="s">
        <v>530</v>
      </c>
      <c r="H40" s="553"/>
      <c r="I40" s="553"/>
      <c r="J40" s="270" t="s">
        <v>650</v>
      </c>
      <c r="K40" s="539"/>
      <c r="L40" s="1662"/>
      <c r="M40" s="1662"/>
      <c r="R40" s="1662"/>
      <c r="U40" s="540"/>
      <c r="AA40" s="1658"/>
      <c r="AB40" s="1658"/>
      <c r="AC40" s="1658"/>
      <c r="AD40" s="1658"/>
      <c r="AE40" s="1658"/>
    </row>
    <row s="1384" customFormat="1" customHeight="1" ht="22.5">
      <c r="A41" s="983"/>
      <c r="C41" s="1662"/>
      <c r="D41" s="1664"/>
      <c r="E41" s="1690" t="s">
        <v>651</v>
      </c>
      <c r="F41" s="1676" t="s">
        <v>652</v>
      </c>
      <c r="G41" s="1669" t="s">
        <v>530</v>
      </c>
      <c r="H41" s="553"/>
      <c r="I41" s="553"/>
      <c r="J41" s="270" t="s">
        <v>653</v>
      </c>
      <c r="K41" s="539"/>
      <c r="L41" s="1662"/>
      <c r="M41" s="1662"/>
      <c r="R41" s="1662"/>
      <c r="U41" s="540"/>
      <c r="AA41" s="1658"/>
      <c r="AB41" s="1658"/>
      <c r="AC41" s="1658"/>
      <c r="AD41" s="1658"/>
      <c r="AE41" s="1658"/>
    </row>
    <row s="1384" customFormat="1" customHeight="1" ht="22.5">
      <c r="A42" s="983"/>
      <c r="C42" s="1662"/>
      <c r="D42" s="1664"/>
      <c r="E42" s="1690" t="s">
        <v>654</v>
      </c>
      <c r="F42" s="1676" t="s">
        <v>655</v>
      </c>
      <c r="G42" s="1669" t="s">
        <v>530</v>
      </c>
      <c r="H42" s="553"/>
      <c r="I42" s="553"/>
      <c r="J42" s="270" t="s">
        <v>656</v>
      </c>
      <c r="K42" s="539"/>
      <c r="L42" s="1662"/>
      <c r="M42" s="1662"/>
      <c r="R42" s="1662"/>
      <c r="U42" s="540"/>
      <c r="AA42" s="1658"/>
      <c r="AB42" s="1658"/>
      <c r="AC42" s="1658"/>
      <c r="AD42" s="1658"/>
      <c r="AE42" s="1658"/>
    </row>
    <row s="1384" customFormat="1" customHeight="1" ht="33.75">
      <c r="A43" s="983"/>
      <c r="C43" s="1662" t="s">
        <v>566</v>
      </c>
      <c r="D43" s="1664"/>
      <c r="E43" s="1690" t="s">
        <v>108</v>
      </c>
      <c r="F43" s="702" t="s">
        <v>657</v>
      </c>
      <c r="G43" s="1672" t="s">
        <v>658</v>
      </c>
      <c r="H43" s="398"/>
      <c r="I43" s="398"/>
      <c r="J43" s="270" t="s">
        <v>659</v>
      </c>
      <c r="K43" s="539"/>
      <c r="L43" s="1662"/>
      <c r="M43" s="1662"/>
      <c r="R43" s="1662"/>
      <c r="U43" s="540"/>
      <c r="AA43" s="1658"/>
      <c r="AB43" s="1658"/>
      <c r="AC43" s="1658"/>
      <c r="AD43" s="1658"/>
      <c r="AE43" s="1658"/>
    </row>
    <row s="1384" customFormat="1" customHeight="1" ht="22.5">
      <c r="A44" s="983"/>
      <c r="C44" s="1662"/>
      <c r="D44" s="1664"/>
      <c r="E44" s="1690" t="s">
        <v>88</v>
      </c>
      <c r="F44" s="702" t="s">
        <v>660</v>
      </c>
      <c r="G44" s="1669" t="s">
        <v>661</v>
      </c>
      <c r="H44" s="541"/>
      <c r="I44" s="541"/>
      <c r="J44" s="270" t="s">
        <v>662</v>
      </c>
      <c r="K44" s="539"/>
      <c r="L44" s="1662"/>
      <c r="M44" s="1662"/>
      <c r="R44" s="1662"/>
      <c r="U44" s="540"/>
      <c r="AA44" s="1658"/>
      <c r="AB44" s="1658"/>
      <c r="AC44" s="1658"/>
      <c r="AD44" s="1658"/>
      <c r="AE44" s="1658"/>
    </row>
    <row s="1384" customFormat="1" customHeight="1" ht="22.5">
      <c r="A45" s="983"/>
      <c r="C45" s="1662"/>
      <c r="D45" s="1664"/>
      <c r="E45" s="1690" t="s">
        <v>89</v>
      </c>
      <c r="F45" s="702" t="s">
        <v>663</v>
      </c>
      <c r="G45" s="1680" t="s">
        <v>664</v>
      </c>
      <c r="H45" s="541"/>
      <c r="I45" s="541"/>
      <c r="J45" s="270" t="s">
        <v>665</v>
      </c>
      <c r="K45" s="539"/>
      <c r="L45" s="1662"/>
      <c r="M45" s="1662"/>
      <c r="R45" s="1662"/>
      <c r="U45" s="540"/>
      <c r="AA45" s="1658"/>
      <c r="AB45" s="1658"/>
      <c r="AC45" s="1658"/>
      <c r="AD45" s="1658"/>
      <c r="AE45" s="1658"/>
    </row>
    <row s="1384" customFormat="1" customHeight="1" ht="18.75">
      <c r="A46" s="983"/>
      <c r="C46" s="1662"/>
      <c r="D46" s="1664"/>
      <c r="E46" s="1690" t="s">
        <v>109</v>
      </c>
      <c r="F46" s="702" t="s">
        <v>666</v>
      </c>
      <c r="G46" s="1669" t="s">
        <v>568</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0AD6F-3BF5-DD93-56B5-4B36FFD4EAE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530</v>
      </c>
      <c r="H2" s="537"/>
      <c r="I2" s="537"/>
      <c r="J2" s="538" t="s">
        <v>533</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667</v>
      </c>
      <c r="F6" s="2121"/>
      <c r="G6" s="2121"/>
      <c r="H6" s="2121"/>
      <c r="I6" s="2121"/>
      <c r="J6" s="552"/>
    </row>
    <row customHeight="1" ht="24">
      <c r="E7" s="2122" t="str">
        <f>IF(org=0,"Не определено",org)</f>
        <v>ИМУП «ПОСЖИЛКОМСЕРВИС»</v>
      </c>
      <c r="F7" s="2122"/>
      <c r="G7" s="2122"/>
      <c r="H7" s="2122"/>
      <c r="I7" s="2122"/>
    </row>
    <row customHeight="1" ht="11.25">
      <c r="E8" s="1131"/>
      <c r="F8" s="1131"/>
      <c r="G8" s="1131"/>
      <c r="H8" s="1131"/>
      <c r="I8" s="1131"/>
    </row>
    <row s="1668" customFormat="1" customHeight="1" ht="0.75">
      <c r="A9" s="1163"/>
      <c r="D9" s="1668"/>
      <c r="H9" s="884"/>
      <c r="I9" s="884" t="s">
        <v>114</v>
      </c>
    </row>
    <row customHeight="1" ht="11.25">
      <c r="E10" s="706"/>
      <c r="F10" s="2200" t="s">
        <v>102</v>
      </c>
      <c r="G10" s="2201"/>
      <c r="H10" s="1685" t="str">
        <f>IF(H9="","",INDEX(DIFFERENTIATION_UNMERGE_VD,MATCH(H9,DIFFERENTIATION_ID_DIFF,0)))</f>
        <v/>
      </c>
      <c r="I10" s="1685" t="str">
        <f>IF(I9="","",INDEX(DIFFERENTIATION_UNMERGE_VD,MATCH(I9,DIFFERENTIATION_ID_DIFF,0)))</f>
        <v>Горячее водоснабжение</v>
      </c>
      <c r="J10" s="1952"/>
    </row>
    <row customHeight="1" ht="11.25">
      <c r="E11" s="706"/>
      <c r="F11" s="2200" t="s">
        <v>542</v>
      </c>
      <c r="G11" s="2201"/>
      <c r="H11" s="1685" t="str">
        <f>IF(H9="","",INDEX(DIFFERENTIATION_UNMERGE_AREA,MATCH(H9,DIFFERENTIATION_ID_DIFF,0)))</f>
        <v/>
      </c>
      <c r="I11" s="1685" t="str">
        <f>IF(I9="","",INDEX(DIFFERENTIATION_UNMERGE_AREA,MATCH(I9,DIFFERENTIATION_ID_DIFF,0)))</f>
        <v>Территория 1</v>
      </c>
      <c r="J11" s="1952"/>
    </row>
    <row customHeight="1" ht="11.25" hidden="1">
      <c r="E12" s="1688"/>
      <c r="F12" s="2215" t="s">
        <v>543</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284</v>
      </c>
      <c r="F13" s="2203"/>
      <c r="G13" s="2203"/>
      <c r="H13" s="1682"/>
      <c r="I13" s="1682"/>
      <c r="J13" s="1952"/>
    </row>
    <row customHeight="1" ht="22.5">
      <c r="E14" s="1683" t="s">
        <v>84</v>
      </c>
      <c r="F14" s="1686" t="s">
        <v>286</v>
      </c>
      <c r="G14" s="1686" t="s">
        <v>544</v>
      </c>
      <c r="H14" s="1686" t="s">
        <v>287</v>
      </c>
      <c r="I14" s="1686" t="s">
        <v>287</v>
      </c>
      <c r="J14" s="1952"/>
    </row>
    <row customHeight="1" ht="18.75">
      <c r="D15" s="1664"/>
      <c r="E15" s="1656" t="s">
        <v>106</v>
      </c>
      <c r="F15" s="702" t="s">
        <v>668</v>
      </c>
      <c r="G15" s="1683" t="s">
        <v>530</v>
      </c>
      <c r="H15" s="553"/>
      <c r="I15" s="553"/>
      <c r="J15" s="270" t="s">
        <v>669</v>
      </c>
      <c r="K15" s="539" t="s">
        <v>597</v>
      </c>
    </row>
    <row customHeight="1" ht="22.5">
      <c r="D16" s="1664"/>
      <c r="E16" s="1656" t="s">
        <v>107</v>
      </c>
      <c r="F16" s="1691" t="s">
        <v>670</v>
      </c>
      <c r="G16" s="1683" t="s">
        <v>530</v>
      </c>
      <c r="H16" s="554">
        <f>SUM(H17,H20:H27)</f>
        <v>0</v>
      </c>
      <c r="I16" s="554">
        <f>SUM(I17,I20:I27)</f>
        <v>0</v>
      </c>
      <c r="J16" s="270" t="s">
        <v>671</v>
      </c>
      <c r="K16" s="539" t="s">
        <v>597</v>
      </c>
    </row>
    <row customHeight="1" ht="33.75">
      <c r="D17" s="1664"/>
      <c r="E17" s="1690" t="s">
        <v>600</v>
      </c>
      <c r="F17" s="1693" t="s">
        <v>672</v>
      </c>
      <c r="G17" s="1680" t="s">
        <v>530</v>
      </c>
      <c r="H17" s="553"/>
      <c r="I17" s="553"/>
      <c r="J17" s="270" t="s">
        <v>673</v>
      </c>
      <c r="K17" s="539"/>
    </row>
    <row customHeight="1" ht="18.75">
      <c r="D18" s="1664"/>
      <c r="E18" s="1690" t="s">
        <v>603</v>
      </c>
      <c r="F18" s="1694" t="s">
        <v>674</v>
      </c>
      <c r="G18" s="1680" t="s">
        <v>530</v>
      </c>
      <c r="H18" s="553"/>
      <c r="I18" s="553"/>
      <c r="J18" s="270"/>
      <c r="K18" s="539"/>
    </row>
    <row customHeight="1" ht="22.5">
      <c r="D19" s="1664"/>
      <c r="E19" s="1690" t="s">
        <v>606</v>
      </c>
      <c r="F19" s="1694" t="s">
        <v>675</v>
      </c>
      <c r="G19" s="1680" t="s">
        <v>530</v>
      </c>
      <c r="H19" s="553"/>
      <c r="I19" s="553"/>
      <c r="J19" s="270"/>
      <c r="K19" s="539"/>
    </row>
    <row customHeight="1" ht="33.75">
      <c r="D20" s="1664"/>
      <c r="E20" s="1690" t="s">
        <v>291</v>
      </c>
      <c r="F20" s="1693" t="s">
        <v>676</v>
      </c>
      <c r="G20" s="1680" t="s">
        <v>530</v>
      </c>
      <c r="H20" s="553"/>
      <c r="I20" s="553"/>
      <c r="J20" s="270"/>
      <c r="K20" s="539"/>
    </row>
    <row customHeight="1" ht="33.75">
      <c r="D21" s="1664"/>
      <c r="E21" s="1690" t="s">
        <v>294</v>
      </c>
      <c r="F21" s="1693" t="s">
        <v>677</v>
      </c>
      <c r="G21" s="1680" t="s">
        <v>530</v>
      </c>
      <c r="H21" s="553"/>
      <c r="I21" s="553"/>
      <c r="J21" s="270"/>
      <c r="K21" s="539"/>
    </row>
    <row customHeight="1" ht="56.25">
      <c r="D22" s="1664"/>
      <c r="E22" s="1690" t="s">
        <v>620</v>
      </c>
      <c r="F22" s="1693" t="s">
        <v>678</v>
      </c>
      <c r="G22" s="1680" t="s">
        <v>530</v>
      </c>
      <c r="H22" s="553"/>
      <c r="I22" s="553"/>
      <c r="J22" s="270"/>
      <c r="K22" s="539"/>
    </row>
    <row customHeight="1" ht="33.75">
      <c r="D23" s="1664"/>
      <c r="E23" s="1690" t="s">
        <v>627</v>
      </c>
      <c r="F23" s="1693" t="s">
        <v>679</v>
      </c>
      <c r="G23" s="1680" t="s">
        <v>530</v>
      </c>
      <c r="H23" s="553"/>
      <c r="I23" s="553"/>
      <c r="J23" s="270"/>
      <c r="K23" s="539"/>
    </row>
    <row customHeight="1" ht="33.75">
      <c r="D24" s="1664"/>
      <c r="E24" s="1690" t="s">
        <v>629</v>
      </c>
      <c r="F24" s="1693" t="s">
        <v>680</v>
      </c>
      <c r="G24" s="1680" t="s">
        <v>530</v>
      </c>
      <c r="H24" s="553"/>
      <c r="I24" s="553"/>
      <c r="J24" s="270"/>
      <c r="K24" s="539"/>
    </row>
    <row customHeight="1" ht="22.5">
      <c r="D25" s="1664"/>
      <c r="E25" s="1690" t="s">
        <v>631</v>
      </c>
      <c r="F25" s="1693" t="s">
        <v>681</v>
      </c>
      <c r="G25" s="1680" t="s">
        <v>530</v>
      </c>
      <c r="H25" s="553"/>
      <c r="I25" s="553"/>
      <c r="J25" s="270"/>
      <c r="K25" s="539"/>
    </row>
    <row customHeight="1" ht="67.5">
      <c r="D26" s="1664"/>
      <c r="E26" s="1690" t="s">
        <v>633</v>
      </c>
      <c r="F26" s="1693" t="s">
        <v>682</v>
      </c>
      <c r="G26" s="1680" t="s">
        <v>530</v>
      </c>
      <c r="H26" s="553"/>
      <c r="I26" s="553"/>
      <c r="J26" s="270"/>
      <c r="K26" s="539"/>
    </row>
    <row s="1384" customFormat="1" customHeight="1" ht="22.5">
      <c r="A27" s="983"/>
      <c r="C27" s="1662"/>
      <c r="D27" s="1664"/>
      <c r="E27" s="1655" t="s">
        <v>637</v>
      </c>
      <c r="F27" s="1654" t="s">
        <v>683</v>
      </c>
      <c r="G27" s="1681" t="s">
        <v>530</v>
      </c>
      <c r="H27" s="575">
        <f>SUM(H28:H29)</f>
        <v>0</v>
      </c>
      <c r="I27" s="575">
        <f>SUM(I28:I29)</f>
        <v>0</v>
      </c>
      <c r="J27" s="270" t="s">
        <v>635</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555</v>
      </c>
      <c r="G29" s="568"/>
      <c r="H29" s="569"/>
      <c r="I29" s="569"/>
      <c r="J29" s="281" t="s">
        <v>636</v>
      </c>
      <c r="K29" s="539"/>
      <c r="L29" s="1662"/>
      <c r="M29" s="1662"/>
      <c r="R29" s="1662"/>
      <c r="U29" s="540"/>
      <c r="AA29" s="1658"/>
      <c r="AB29" s="1658"/>
      <c r="AC29" s="1658"/>
      <c r="AD29" s="1658"/>
      <c r="AE29" s="1658"/>
    </row>
    <row s="1384" customFormat="1" customHeight="1" ht="22.5">
      <c r="A30" s="983"/>
      <c r="C30" s="1662"/>
      <c r="D30" s="1664"/>
      <c r="E30" s="1690" t="s">
        <v>86</v>
      </c>
      <c r="F30" s="1687" t="s">
        <v>684</v>
      </c>
      <c r="G30" s="1680" t="s">
        <v>530</v>
      </c>
      <c r="H30" s="553"/>
      <c r="I30" s="553"/>
      <c r="J30" s="270"/>
      <c r="K30" s="539"/>
      <c r="L30" s="1662"/>
      <c r="M30" s="1662"/>
      <c r="R30" s="1662"/>
      <c r="U30" s="540"/>
      <c r="AA30" s="1658"/>
      <c r="AB30" s="1658"/>
      <c r="AC30" s="1658"/>
      <c r="AD30" s="1658"/>
      <c r="AE30" s="1658"/>
    </row>
    <row s="1384" customFormat="1" customHeight="1" ht="33.75">
      <c r="A31" s="983"/>
      <c r="C31" s="1662"/>
      <c r="D31" s="571"/>
      <c r="E31" s="1690" t="s">
        <v>87</v>
      </c>
      <c r="F31" s="1687" t="s">
        <v>685</v>
      </c>
      <c r="G31" s="1680" t="s">
        <v>530</v>
      </c>
      <c r="H31" s="553"/>
      <c r="I31" s="553"/>
      <c r="J31" s="270" t="s">
        <v>686</v>
      </c>
      <c r="K31" s="539"/>
      <c r="L31" s="1662"/>
      <c r="M31" s="1662"/>
      <c r="R31" s="1662"/>
      <c r="U31" s="540"/>
      <c r="AA31" s="1658"/>
      <c r="AB31" s="1658"/>
      <c r="AC31" s="1658"/>
      <c r="AD31" s="1658"/>
      <c r="AE31" s="1658"/>
    </row>
    <row s="1384" customFormat="1" customHeight="1" ht="22.5">
      <c r="A32" s="983"/>
      <c r="C32" s="1662"/>
      <c r="D32" s="1664"/>
      <c r="E32" s="1690" t="s">
        <v>645</v>
      </c>
      <c r="F32" s="685" t="s">
        <v>649</v>
      </c>
      <c r="G32" s="1680" t="s">
        <v>530</v>
      </c>
      <c r="H32" s="553"/>
      <c r="I32" s="553"/>
      <c r="J32" s="270" t="s">
        <v>687</v>
      </c>
      <c r="K32" s="539"/>
      <c r="L32" s="1662"/>
      <c r="M32" s="1662"/>
      <c r="R32" s="1662"/>
      <c r="U32" s="540"/>
      <c r="AA32" s="1658"/>
      <c r="AB32" s="1658"/>
      <c r="AC32" s="1658"/>
      <c r="AD32" s="1658"/>
      <c r="AE32" s="1658"/>
    </row>
    <row s="1384" customFormat="1" customHeight="1" ht="22.5">
      <c r="A33" s="983"/>
      <c r="C33" s="1662"/>
      <c r="D33" s="1664"/>
      <c r="E33" s="1690" t="s">
        <v>688</v>
      </c>
      <c r="F33" s="685" t="s">
        <v>689</v>
      </c>
      <c r="G33" s="1680" t="s">
        <v>530</v>
      </c>
      <c r="H33" s="553"/>
      <c r="I33" s="553"/>
      <c r="J33" s="270" t="s">
        <v>690</v>
      </c>
      <c r="K33" s="539"/>
      <c r="L33" s="1662"/>
      <c r="M33" s="1662"/>
      <c r="R33" s="1662"/>
      <c r="U33" s="540"/>
      <c r="AA33" s="1658"/>
      <c r="AB33" s="1658"/>
      <c r="AC33" s="1658"/>
      <c r="AD33" s="1658"/>
      <c r="AE33" s="1658"/>
    </row>
    <row s="1384" customFormat="1" customHeight="1" ht="22.5">
      <c r="A34" s="983"/>
      <c r="C34" s="1662"/>
      <c r="D34" s="1664"/>
      <c r="E34" s="1690" t="s">
        <v>691</v>
      </c>
      <c r="F34" s="685" t="s">
        <v>655</v>
      </c>
      <c r="G34" s="1680" t="s">
        <v>530</v>
      </c>
      <c r="H34" s="553"/>
      <c r="I34" s="553"/>
      <c r="J34" s="270" t="s">
        <v>692</v>
      </c>
      <c r="K34" s="539"/>
      <c r="L34" s="1662"/>
      <c r="M34" s="1662"/>
      <c r="R34" s="1662"/>
      <c r="U34" s="540"/>
      <c r="AA34" s="1658"/>
      <c r="AB34" s="1658"/>
      <c r="AC34" s="1658"/>
      <c r="AD34" s="1658"/>
      <c r="AE34" s="1658"/>
    </row>
    <row s="1384" customFormat="1" customHeight="1" ht="33.75">
      <c r="A35" s="983"/>
      <c r="C35" s="1662" t="s">
        <v>566</v>
      </c>
      <c r="D35" s="1664"/>
      <c r="E35" s="1690" t="s">
        <v>108</v>
      </c>
      <c r="F35" s="1687" t="s">
        <v>657</v>
      </c>
      <c r="G35" s="1683" t="s">
        <v>290</v>
      </c>
      <c r="H35" s="398"/>
      <c r="I35" s="398"/>
      <c r="J35" s="270" t="s">
        <v>693</v>
      </c>
      <c r="K35" s="539"/>
      <c r="L35" s="1662"/>
      <c r="M35" s="1662"/>
      <c r="R35" s="1662"/>
      <c r="U35" s="540"/>
      <c r="AA35" s="1658"/>
      <c r="AB35" s="1658"/>
      <c r="AC35" s="1658"/>
      <c r="AD35" s="1658"/>
      <c r="AE35" s="1658"/>
    </row>
    <row s="1384" customFormat="1" customHeight="1" ht="22.5">
      <c r="A36" s="983"/>
      <c r="C36" s="1662"/>
      <c r="D36" s="1664"/>
      <c r="E36" s="1690" t="s">
        <v>88</v>
      </c>
      <c r="F36" s="1687" t="s">
        <v>694</v>
      </c>
      <c r="G36" s="1680" t="s">
        <v>661</v>
      </c>
      <c r="H36" s="541"/>
      <c r="I36" s="541"/>
      <c r="J36" s="270" t="s">
        <v>662</v>
      </c>
      <c r="K36" s="539"/>
      <c r="L36" s="1662"/>
      <c r="M36" s="1662"/>
      <c r="R36" s="1662"/>
      <c r="U36" s="540"/>
      <c r="AA36" s="1658"/>
      <c r="AB36" s="1658"/>
      <c r="AC36" s="1658"/>
      <c r="AD36" s="1658"/>
      <c r="AE36" s="1658"/>
    </row>
    <row s="1384" customFormat="1" customHeight="1" ht="22.5">
      <c r="A37" s="983"/>
      <c r="C37" s="1662"/>
      <c r="D37" s="1664"/>
      <c r="E37" s="1690" t="s">
        <v>89</v>
      </c>
      <c r="F37" s="1687" t="s">
        <v>695</v>
      </c>
      <c r="G37" s="1680" t="s">
        <v>664</v>
      </c>
      <c r="H37" s="541"/>
      <c r="I37" s="541"/>
      <c r="J37" s="270" t="s">
        <v>665</v>
      </c>
      <c r="K37" s="539"/>
      <c r="L37" s="1662"/>
      <c r="M37" s="1662"/>
      <c r="R37" s="1662"/>
      <c r="U37" s="540"/>
      <c r="AA37" s="1658"/>
      <c r="AB37" s="1658"/>
      <c r="AC37" s="1658"/>
      <c r="AD37" s="1658"/>
      <c r="AE37" s="1658"/>
    </row>
    <row customHeight="1" ht="11.25">
      <c r="D38" s="1664"/>
    </row>
    <row customHeight="1" ht="26.25">
      <c r="D39" s="1664"/>
      <c r="E39" s="1261" t="s">
        <v>696</v>
      </c>
      <c r="F39" s="2087" t="s">
        <v>697</v>
      </c>
      <c r="G39" s="2087"/>
      <c r="H39" s="2087"/>
      <c r="I39" s="2087"/>
      <c r="J39" s="2087"/>
    </row>
    <row s="1667" customFormat="1" customHeight="1" ht="37.5">
      <c r="A40" s="983"/>
      <c r="B40" s="1662"/>
      <c r="C40" s="1662"/>
      <c r="D40" s="339"/>
      <c r="F40" s="2087" t="s">
        <v>698</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55C83-6AE2-AEE8-E04D-45A4AE45242C}"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10" style="1661" width="44.00390625" customWidth="1"/>
    <col min="11" max="11" style="1661" width="74.00390625" customWidth="1"/>
    <col min="12" max="12" style="1661" width="3.7109375" customWidth="1"/>
    <col min="13" max="23" style="1661" width="10.57421875"/>
  </cols>
  <sheetData>
    <row s="1384" customFormat="1" customHeight="1" ht="11.25" hidden="1">
      <c r="A1" s="532"/>
      <c r="B1" s="507"/>
      <c r="G1" s="414">
        <v>4</v>
      </c>
      <c r="I1" s="414">
        <v>4</v>
      </c>
      <c r="K1" s="414">
        <v>5</v>
      </c>
    </row>
    <row customHeight="1" ht="3"/>
    <row customHeight="1" ht="75">
      <c r="D3" s="20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3"/>
      <c r="F3" s="2074"/>
    </row>
    <row s="1661" customFormat="1" customHeight="1" ht="20.25">
      <c r="A4" s="947"/>
      <c r="B4" s="507"/>
      <c r="D4" s="2060" t="str">
        <f>IF(org=0,"Не определено",org)</f>
        <v>ИМУП «ПОСЖИЛКОМСЕРВИС»</v>
      </c>
      <c r="E4" s="2061"/>
      <c r="F4" s="2062"/>
    </row>
    <row customHeight="1" ht="11.25">
      <c r="C5" s="505"/>
      <c r="D5" s="584"/>
      <c r="E5" s="584"/>
      <c r="F5" s="584"/>
      <c r="G5" s="584"/>
      <c r="H5" s="748"/>
      <c r="I5" s="584"/>
      <c r="J5" s="748"/>
      <c r="K5" s="584"/>
    </row>
    <row customHeight="1" ht="0.75">
      <c r="C6" s="505"/>
      <c r="D6" s="505"/>
      <c r="E6" s="518"/>
      <c r="F6" s="610"/>
      <c r="G6" s="1018"/>
      <c r="H6" s="1018"/>
      <c r="I6" s="1018" t="s">
        <v>114</v>
      </c>
      <c r="J6" s="1018"/>
    </row>
    <row customHeight="1" ht="11.25">
      <c r="D7" s="706"/>
      <c r="E7" s="2200" t="s">
        <v>102</v>
      </c>
      <c r="F7" s="2201"/>
      <c r="G7" s="2217" t="str">
        <f>IF(G6="","",INDEX(DIFFERENTIATION_UNMERGE_VD,MATCH(G6,DIFFERENTIATION_ID_DIFF,0)))</f>
        <v/>
      </c>
      <c r="H7" s="2218"/>
      <c r="I7" s="2217" t="str">
        <f>IF(I6="","",INDEX(DIFFERENTIATION_UNMERGE_VD,MATCH(I6,DIFFERENTIATION_ID_DIFF,0)))</f>
        <v>Горячее водоснабжение</v>
      </c>
      <c r="J7" s="2218"/>
      <c r="K7" s="2009"/>
      <c r="L7" s="505"/>
    </row>
    <row customHeight="1" ht="11.25">
      <c r="A8" s="699"/>
      <c r="D8" s="706"/>
      <c r="E8" s="2200" t="s">
        <v>542</v>
      </c>
      <c r="F8" s="2201"/>
      <c r="G8" s="2217" t="str">
        <f>IF(G6="","",INDEX(DIFFERENTIATION_UNMERGE_AREA,MATCH(G6,DIFFERENTIATION_ID_DIFF,0)))</f>
        <v/>
      </c>
      <c r="H8" s="2218"/>
      <c r="I8" s="2217" t="str">
        <f>IF(I6="","",INDEX(DIFFERENTIATION_UNMERGE_AREA,MATCH(I6,DIFFERENTIATION_ID_DIFF,0)))</f>
        <v>Территория 1</v>
      </c>
      <c r="J8" s="2218"/>
      <c r="K8" s="2017"/>
      <c r="L8" s="505"/>
    </row>
    <row customHeight="1" ht="11.25">
      <c r="A9" s="699"/>
      <c r="D9" s="706"/>
      <c r="E9" s="2200" t="s">
        <v>543</v>
      </c>
      <c r="F9" s="2201"/>
      <c r="G9" s="2217" t="str">
        <f>IF(G6="","",INDEX(DIFFERENTIATION_UNMERGE_SYSTEM,MATCH(G6,DIFFERENTIATION_ID_DIFF,0)))</f>
        <v/>
      </c>
      <c r="H9" s="2218"/>
      <c r="I9" s="2217" t="str">
        <f>IF(I6="","",INDEX(DIFFERENTIATION_UNMERGE_SYSTEM,MATCH(I6,DIFFERENTIATION_ID_DIFF,0)))</f>
        <v>без дифференциации</v>
      </c>
      <c r="J9" s="2218"/>
      <c r="K9" s="2017"/>
      <c r="L9" s="505"/>
    </row>
    <row s="1661" customFormat="1" customHeight="1" ht="11.25">
      <c r="A10" s="1017"/>
      <c r="B10" s="507"/>
      <c r="D10" s="1936" t="s">
        <v>284</v>
      </c>
      <c r="E10" s="1937"/>
      <c r="F10" s="1937"/>
      <c r="G10" s="1937"/>
      <c r="H10" s="1937"/>
      <c r="I10" s="1937"/>
      <c r="J10" s="1938"/>
      <c r="K10" s="2017"/>
      <c r="L10" s="505"/>
    </row>
    <row s="1661" customFormat="1" customHeight="1" ht="22.5">
      <c r="A11" s="2220"/>
      <c r="B11" s="2220"/>
      <c r="C11" s="652"/>
      <c r="D11" s="698" t="s">
        <v>84</v>
      </c>
      <c r="E11" s="700" t="s">
        <v>699</v>
      </c>
      <c r="F11" s="700" t="s">
        <v>544</v>
      </c>
      <c r="G11" s="461" t="s">
        <v>287</v>
      </c>
      <c r="H11" s="461" t="s">
        <v>376</v>
      </c>
      <c r="I11" s="802" t="s">
        <v>287</v>
      </c>
      <c r="J11" s="803" t="s">
        <v>376</v>
      </c>
      <c r="K11" s="2071"/>
      <c r="L11" s="653"/>
    </row>
    <row s="1668" customFormat="1" customHeight="1" ht="10.5">
      <c r="A12" s="948"/>
      <c r="D12" s="1021" t="s">
        <v>106</v>
      </c>
      <c r="E12" s="1021" t="s">
        <v>107</v>
      </c>
      <c r="F12" s="1021" t="s">
        <v>86</v>
      </c>
      <c r="G12" s="1022" t="str">
        <f>G1&amp;".1"</f>
        <v>4.1</v>
      </c>
      <c r="H12" s="1022" t="str">
        <f>G1&amp;".2"</f>
        <v>4.2</v>
      </c>
      <c r="I12" s="1022" t="str">
        <f>I1&amp;".1"</f>
        <v>4.1</v>
      </c>
      <c r="J12" s="1022" t="str">
        <f>I1&amp;".2"</f>
        <v>4.2</v>
      </c>
      <c r="K12" s="1022"/>
    </row>
    <row customHeight="1" ht="22.5" hidden="1">
      <c r="A13" s="2219" t="s">
        <v>700</v>
      </c>
      <c r="D13" s="949" t="s">
        <v>106</v>
      </c>
      <c r="E13" s="260" t="s">
        <v>701</v>
      </c>
      <c r="F13" s="655" t="s">
        <v>702</v>
      </c>
      <c r="G13" s="553"/>
      <c r="H13" s="656"/>
      <c r="I13" s="553"/>
      <c r="J13" s="656"/>
      <c r="K13" s="270" t="s">
        <v>703</v>
      </c>
      <c r="L13" s="715"/>
    </row>
    <row customHeight="1" ht="22.5" hidden="1">
      <c r="A14" s="2219"/>
      <c r="D14" s="535" t="s">
        <v>107</v>
      </c>
      <c r="E14" s="260" t="s">
        <v>704</v>
      </c>
      <c r="F14" s="655" t="s">
        <v>705</v>
      </c>
      <c r="G14" s="553"/>
      <c r="H14" s="657"/>
      <c r="I14" s="553"/>
      <c r="J14" s="657"/>
      <c r="K14" s="270" t="s">
        <v>706</v>
      </c>
      <c r="L14" s="715"/>
    </row>
    <row s="1661" customFormat="1" customHeight="1" ht="78.75" hidden="1">
      <c r="A15" s="2219"/>
      <c r="B15" s="507"/>
      <c r="D15" s="949" t="s">
        <v>86</v>
      </c>
      <c r="E15" s="702" t="s">
        <v>707</v>
      </c>
      <c r="F15" s="946" t="s">
        <v>290</v>
      </c>
      <c r="G15" s="946" t="s">
        <v>290</v>
      </c>
      <c r="H15" s="86"/>
      <c r="I15" s="946" t="s">
        <v>290</v>
      </c>
      <c r="J15" s="86"/>
      <c r="K15" s="270" t="s">
        <v>708</v>
      </c>
      <c r="L15" s="715"/>
    </row>
    <row s="1661" customFormat="1" customHeight="1" ht="22.5" hidden="1">
      <c r="A16" s="2219"/>
      <c r="B16" s="507"/>
      <c r="D16" s="949" t="s">
        <v>310</v>
      </c>
      <c r="E16" s="950" t="s">
        <v>709</v>
      </c>
      <c r="F16" s="946" t="s">
        <v>710</v>
      </c>
      <c r="G16" s="812"/>
      <c r="H16" s="86"/>
      <c r="I16" s="812"/>
      <c r="J16" s="86"/>
      <c r="K16" s="270"/>
      <c r="L16" s="715"/>
    </row>
    <row s="1661" customFormat="1" customHeight="1" ht="22.5" hidden="1">
      <c r="A17" s="2219"/>
      <c r="B17" s="507"/>
      <c r="D17" s="949" t="s">
        <v>318</v>
      </c>
      <c r="E17" s="950" t="s">
        <v>711</v>
      </c>
      <c r="F17" s="946" t="s">
        <v>712</v>
      </c>
      <c r="G17" s="812"/>
      <c r="H17" s="86"/>
      <c r="I17" s="812"/>
      <c r="J17" s="86"/>
      <c r="K17" s="270"/>
      <c r="L17" s="715"/>
    </row>
    <row s="1661" customFormat="1" customHeight="1" ht="33.75" hidden="1">
      <c r="A18" s="2219"/>
      <c r="B18" s="507"/>
      <c r="D18" s="949" t="s">
        <v>320</v>
      </c>
      <c r="E18" s="950" t="s">
        <v>713</v>
      </c>
      <c r="F18" s="946" t="s">
        <v>549</v>
      </c>
      <c r="G18" s="675"/>
      <c r="H18" s="86"/>
      <c r="I18" s="675"/>
      <c r="J18" s="86"/>
      <c r="K18" s="270"/>
      <c r="L18" s="715"/>
    </row>
    <row customHeight="1" ht="101.25" hidden="1">
      <c r="A19" s="2219"/>
      <c r="D19" s="949" t="s">
        <v>87</v>
      </c>
      <c r="E19" s="260" t="s">
        <v>714</v>
      </c>
      <c r="F19" s="655" t="s">
        <v>524</v>
      </c>
      <c r="G19" s="658"/>
      <c r="H19" s="657"/>
      <c r="I19" s="951"/>
      <c r="J19" s="657"/>
      <c r="K19" s="270" t="s">
        <v>715</v>
      </c>
      <c r="L19" s="715"/>
    </row>
    <row s="1661" customFormat="1" customHeight="1" ht="18.75" hidden="1">
      <c r="A20" s="2219"/>
      <c r="C20" s="952"/>
      <c r="D20" s="949" t="s">
        <v>645</v>
      </c>
      <c r="E20" s="950" t="s">
        <v>716</v>
      </c>
      <c r="F20" s="946" t="s">
        <v>290</v>
      </c>
      <c r="G20" s="946" t="s">
        <v>290</v>
      </c>
      <c r="H20" s="945" t="s">
        <v>290</v>
      </c>
      <c r="I20" s="946" t="s">
        <v>290</v>
      </c>
      <c r="J20" s="945" t="s">
        <v>290</v>
      </c>
      <c r="K20" s="944"/>
      <c r="L20" s="715"/>
      <c r="W20" s="670"/>
    </row>
    <row s="1661" customFormat="1" customHeight="1" ht="33.75" hidden="1">
      <c r="A21" s="2219"/>
      <c r="C21" s="952"/>
      <c r="D21" s="949" t="s">
        <v>648</v>
      </c>
      <c r="E21" s="572" t="s">
        <v>717</v>
      </c>
      <c r="F21" s="946" t="s">
        <v>718</v>
      </c>
      <c r="G21" s="938"/>
      <c r="H21" s="86"/>
      <c r="I21" s="938"/>
      <c r="J21" s="86"/>
      <c r="K21" s="944"/>
      <c r="L21" s="715"/>
      <c r="W21" s="670"/>
    </row>
    <row s="1661" customFormat="1" customHeight="1" ht="33.75" hidden="1">
      <c r="A22" s="2219"/>
      <c r="C22" s="952"/>
      <c r="D22" s="949" t="s">
        <v>651</v>
      </c>
      <c r="E22" s="572" t="s">
        <v>719</v>
      </c>
      <c r="F22" s="946" t="s">
        <v>720</v>
      </c>
      <c r="G22" s="938"/>
      <c r="H22" s="86"/>
      <c r="I22" s="938"/>
      <c r="J22" s="86"/>
      <c r="K22" s="944"/>
      <c r="L22" s="715"/>
      <c r="W22" s="670"/>
    </row>
    <row s="1661" customFormat="1" customHeight="1" ht="22.5" hidden="1">
      <c r="A23" s="2219"/>
      <c r="C23" s="952"/>
      <c r="D23" s="949" t="s">
        <v>688</v>
      </c>
      <c r="E23" s="950" t="s">
        <v>721</v>
      </c>
      <c r="F23" s="946" t="s">
        <v>290</v>
      </c>
      <c r="G23" s="946" t="s">
        <v>290</v>
      </c>
      <c r="H23" s="945" t="s">
        <v>290</v>
      </c>
      <c r="I23" s="946" t="s">
        <v>290</v>
      </c>
      <c r="J23" s="945" t="s">
        <v>290</v>
      </c>
      <c r="K23" s="944"/>
      <c r="L23" s="715"/>
      <c r="W23" s="670"/>
    </row>
    <row s="1661" customFormat="1" customHeight="1" ht="22.5" hidden="1">
      <c r="A24" s="2219"/>
      <c r="C24" s="952"/>
      <c r="D24" s="949" t="s">
        <v>722</v>
      </c>
      <c r="E24" s="572" t="s">
        <v>723</v>
      </c>
      <c r="F24" s="946" t="s">
        <v>724</v>
      </c>
      <c r="G24" s="938"/>
      <c r="H24" s="681"/>
      <c r="I24" s="938"/>
      <c r="J24" s="681"/>
      <c r="K24" s="944"/>
      <c r="L24" s="715"/>
      <c r="W24" s="670"/>
    </row>
    <row s="1661" customFormat="1" customHeight="1" ht="22.5" hidden="1">
      <c r="A25" s="2219"/>
      <c r="C25" s="952"/>
      <c r="D25" s="949" t="s">
        <v>725</v>
      </c>
      <c r="E25" s="572" t="s">
        <v>726</v>
      </c>
      <c r="F25" s="946" t="s">
        <v>290</v>
      </c>
      <c r="G25" s="946" t="s">
        <v>290</v>
      </c>
      <c r="H25" s="945" t="s">
        <v>290</v>
      </c>
      <c r="I25" s="946" t="s">
        <v>290</v>
      </c>
      <c r="J25" s="945" t="s">
        <v>290</v>
      </c>
      <c r="K25" s="944"/>
      <c r="L25" s="715"/>
      <c r="W25" s="670"/>
    </row>
    <row s="1661" customFormat="1" customHeight="1" ht="18.75" hidden="1">
      <c r="A26" s="2219"/>
      <c r="C26" s="952"/>
      <c r="D26" s="949" t="s">
        <v>727</v>
      </c>
      <c r="E26" s="549" t="s">
        <v>728</v>
      </c>
      <c r="F26" s="946" t="s">
        <v>729</v>
      </c>
      <c r="G26" s="675"/>
      <c r="H26" s="681"/>
      <c r="I26" s="675"/>
      <c r="J26" s="681"/>
      <c r="K26" s="944"/>
      <c r="L26" s="715"/>
      <c r="W26" s="670"/>
    </row>
    <row s="1661" customFormat="1" customHeight="1" ht="18.75" hidden="1">
      <c r="A27" s="2219"/>
      <c r="C27" s="952"/>
      <c r="D27" s="949" t="s">
        <v>730</v>
      </c>
      <c r="E27" s="549" t="s">
        <v>731</v>
      </c>
      <c r="F27" s="946" t="s">
        <v>732</v>
      </c>
      <c r="G27" s="675"/>
      <c r="H27" s="681"/>
      <c r="I27" s="675"/>
      <c r="J27" s="681"/>
      <c r="K27" s="944"/>
      <c r="L27" s="715"/>
      <c r="W27" s="670"/>
    </row>
    <row s="1661" customFormat="1" customHeight="1" ht="18.75" hidden="1">
      <c r="A28" s="2219"/>
      <c r="C28" s="952"/>
      <c r="D28" s="949" t="s">
        <v>733</v>
      </c>
      <c r="E28" s="572" t="s">
        <v>734</v>
      </c>
      <c r="F28" s="946" t="s">
        <v>290</v>
      </c>
      <c r="G28" s="946" t="s">
        <v>290</v>
      </c>
      <c r="H28" s="945" t="s">
        <v>290</v>
      </c>
      <c r="I28" s="946" t="s">
        <v>290</v>
      </c>
      <c r="J28" s="945" t="s">
        <v>290</v>
      </c>
      <c r="K28" s="944"/>
      <c r="L28" s="715"/>
      <c r="W28" s="670"/>
    </row>
    <row s="1661" customFormat="1" customHeight="1" ht="18.75" hidden="1">
      <c r="A29" s="2219"/>
      <c r="C29" s="952"/>
      <c r="D29" s="949" t="s">
        <v>735</v>
      </c>
      <c r="E29" s="549" t="s">
        <v>728</v>
      </c>
      <c r="F29" s="946" t="s">
        <v>736</v>
      </c>
      <c r="G29" s="675"/>
      <c r="H29" s="681"/>
      <c r="I29" s="675"/>
      <c r="J29" s="681"/>
      <c r="K29" s="944"/>
      <c r="L29" s="715"/>
      <c r="W29" s="670"/>
    </row>
    <row s="1661" customFormat="1" customHeight="1" ht="18.75" hidden="1">
      <c r="A30" s="2219"/>
      <c r="C30" s="952"/>
      <c r="D30" s="949" t="s">
        <v>737</v>
      </c>
      <c r="E30" s="549" t="s">
        <v>738</v>
      </c>
      <c r="F30" s="946" t="s">
        <v>739</v>
      </c>
      <c r="G30" s="675"/>
      <c r="H30" s="681"/>
      <c r="I30" s="675"/>
      <c r="J30" s="681"/>
      <c r="K30" s="944"/>
      <c r="L30" s="715"/>
      <c r="W30" s="670"/>
    </row>
    <row customHeight="1" ht="126.75" hidden="1">
      <c r="A31" s="2219"/>
      <c r="D31" s="949" t="s">
        <v>108</v>
      </c>
      <c r="E31" s="260" t="s">
        <v>740</v>
      </c>
      <c r="F31" s="655" t="s">
        <v>536</v>
      </c>
      <c r="G31" s="553"/>
      <c r="H31" s="657"/>
      <c r="I31" s="553"/>
      <c r="J31" s="657"/>
      <c r="K31" s="270" t="s">
        <v>741</v>
      </c>
      <c r="L31" s="715"/>
    </row>
    <row customHeight="1" ht="56.25" hidden="1">
      <c r="A32" s="2219"/>
      <c r="D32" s="949" t="s">
        <v>88</v>
      </c>
      <c r="E32" s="260" t="s">
        <v>742</v>
      </c>
      <c r="F32" s="535" t="s">
        <v>712</v>
      </c>
      <c r="G32" s="553"/>
      <c r="H32" s="657"/>
      <c r="I32" s="553"/>
      <c r="J32" s="657"/>
      <c r="K32" s="270" t="s">
        <v>743</v>
      </c>
      <c r="L32" s="715"/>
    </row>
    <row customHeight="1" ht="11.25" hidden="1">
      <c r="A33" s="2219"/>
      <c r="E33" s="659"/>
      <c r="F33" s="161"/>
      <c r="G33" s="161"/>
      <c r="H33" s="161"/>
      <c r="I33" s="161"/>
      <c r="J33" s="161"/>
      <c r="K33" s="161"/>
    </row>
    <row customHeight="1" ht="12.75" hidden="1">
      <c r="A34" s="2219"/>
      <c r="D34" s="47">
        <v>1</v>
      </c>
      <c r="E34" s="323" t="s">
        <v>744</v>
      </c>
    </row>
    <row customHeight="1" ht="11.25" hidden="1">
      <c r="A35" s="2219"/>
      <c r="D35" s="361"/>
      <c r="E35" s="323" t="s">
        <v>745</v>
      </c>
    </row>
    <row s="1661" customFormat="1" customHeight="1" ht="11.25">
      <c r="A36" s="1029"/>
      <c r="B36" s="514"/>
      <c r="D36" s="1030"/>
      <c r="E36" s="1031"/>
    </row>
    <row s="1661" customFormat="1" customHeight="1" ht="22.5" hidden="1">
      <c r="A37" s="2219" t="s">
        <v>746</v>
      </c>
      <c r="B37" s="507"/>
      <c r="D37" s="949">
        <v>1</v>
      </c>
      <c r="E37" s="702" t="s">
        <v>747</v>
      </c>
      <c r="F37" s="655" t="s">
        <v>702</v>
      </c>
      <c r="G37" s="553"/>
      <c r="H37" s="515"/>
      <c r="I37" s="553"/>
      <c r="J37" s="515"/>
      <c r="K37" s="270" t="s">
        <v>748</v>
      </c>
    </row>
    <row s="1661" customFormat="1" customHeight="1" ht="22.5" hidden="1">
      <c r="A38" s="2219"/>
      <c r="B38" s="507"/>
      <c r="D38" s="664" t="s">
        <v>107</v>
      </c>
      <c r="E38" s="1028" t="s">
        <v>749</v>
      </c>
      <c r="F38" s="1032" t="s">
        <v>524</v>
      </c>
      <c r="G38" s="1032" t="s">
        <v>524</v>
      </c>
      <c r="H38" s="1026"/>
      <c r="I38" s="1032" t="s">
        <v>524</v>
      </c>
      <c r="J38" s="1026"/>
      <c r="K38" s="1027"/>
    </row>
    <row s="1661" customFormat="1" customHeight="1" ht="33.75" hidden="1">
      <c r="A39" s="2219"/>
      <c r="B39" s="507"/>
      <c r="D39" s="660" t="s">
        <v>603</v>
      </c>
      <c r="E39" s="718" t="s">
        <v>750</v>
      </c>
      <c r="F39" s="655" t="s">
        <v>751</v>
      </c>
      <c r="G39" s="663"/>
      <c r="H39" s="1019"/>
      <c r="I39" s="663"/>
      <c r="J39" s="1019"/>
      <c r="K39" s="270" t="s">
        <v>752</v>
      </c>
    </row>
    <row s="1661" customFormat="1" customHeight="1" ht="33.75" hidden="1">
      <c r="A40" s="2219"/>
      <c r="B40" s="507"/>
      <c r="D40" s="660" t="s">
        <v>606</v>
      </c>
      <c r="E40" s="718" t="s">
        <v>753</v>
      </c>
      <c r="F40" s="1023" t="s">
        <v>754</v>
      </c>
      <c r="G40" s="736"/>
      <c r="H40" s="1019"/>
      <c r="I40" s="736"/>
      <c r="J40" s="1019"/>
      <c r="K40" s="270" t="s">
        <v>755</v>
      </c>
    </row>
    <row s="1661" customFormat="1" customHeight="1" ht="22.5" hidden="1">
      <c r="A41" s="2219"/>
      <c r="B41" s="507"/>
      <c r="D41" s="660" t="s">
        <v>86</v>
      </c>
      <c r="E41" s="717" t="s">
        <v>756</v>
      </c>
      <c r="F41" s="655" t="s">
        <v>524</v>
      </c>
      <c r="G41" s="655" t="s">
        <v>524</v>
      </c>
      <c r="H41" s="1020"/>
      <c r="I41" s="655" t="s">
        <v>524</v>
      </c>
      <c r="J41" s="1020"/>
      <c r="K41" s="282"/>
    </row>
    <row s="1661" customFormat="1" customHeight="1" ht="45" hidden="1">
      <c r="A42" s="2219"/>
      <c r="B42" s="507"/>
      <c r="D42" s="660" t="s">
        <v>310</v>
      </c>
      <c r="E42" s="718" t="s">
        <v>757</v>
      </c>
      <c r="F42" s="655" t="s">
        <v>536</v>
      </c>
      <c r="G42" s="553"/>
      <c r="H42" s="1020"/>
      <c r="I42" s="553"/>
      <c r="J42" s="1020"/>
      <c r="K42" s="282" t="s">
        <v>758</v>
      </c>
    </row>
    <row s="1661" customFormat="1" customHeight="1" ht="45" hidden="1">
      <c r="A43" s="2219"/>
      <c r="B43" s="507"/>
      <c r="D43" s="660" t="s">
        <v>318</v>
      </c>
      <c r="E43" s="662" t="s">
        <v>759</v>
      </c>
      <c r="F43" s="1024" t="s">
        <v>536</v>
      </c>
      <c r="G43" s="737"/>
      <c r="H43" s="1019"/>
      <c r="I43" s="737"/>
      <c r="J43" s="1019"/>
      <c r="K43" s="282" t="s">
        <v>760</v>
      </c>
    </row>
    <row s="1661" customFormat="1" customHeight="1" ht="11.25" hidden="1">
      <c r="A44" s="2219"/>
      <c r="B44" s="507"/>
      <c r="D44" s="660" t="s">
        <v>87</v>
      </c>
      <c r="E44" s="661" t="s">
        <v>761</v>
      </c>
      <c r="F44" s="655" t="s">
        <v>751</v>
      </c>
      <c r="G44" s="663"/>
      <c r="H44" s="1019"/>
      <c r="I44" s="663"/>
      <c r="J44" s="1019"/>
      <c r="K44" s="270"/>
    </row>
    <row s="1661" customFormat="1" customHeight="1" ht="11.25" hidden="1">
      <c r="A45" s="2219"/>
      <c r="B45" s="507"/>
      <c r="D45" s="660" t="s">
        <v>645</v>
      </c>
      <c r="E45" s="662" t="s">
        <v>762</v>
      </c>
      <c r="F45" s="655" t="s">
        <v>751</v>
      </c>
      <c r="G45" s="663"/>
      <c r="H45" s="1019"/>
      <c r="I45" s="663"/>
      <c r="J45" s="1019"/>
      <c r="K45" s="270"/>
    </row>
    <row s="1661" customFormat="1" customHeight="1" ht="11.25" hidden="1">
      <c r="A46" s="2219"/>
      <c r="B46" s="507"/>
      <c r="D46" s="660" t="s">
        <v>688</v>
      </c>
      <c r="E46" s="662" t="s">
        <v>763</v>
      </c>
      <c r="F46" s="655" t="s">
        <v>751</v>
      </c>
      <c r="G46" s="663"/>
      <c r="H46" s="1019"/>
      <c r="I46" s="663"/>
      <c r="J46" s="1019"/>
      <c r="K46" s="270"/>
    </row>
    <row s="1661" customFormat="1" customHeight="1" ht="11.25" hidden="1">
      <c r="A47" s="2219"/>
      <c r="B47" s="507"/>
      <c r="D47" s="660" t="s">
        <v>691</v>
      </c>
      <c r="E47" s="662" t="s">
        <v>764</v>
      </c>
      <c r="F47" s="655" t="s">
        <v>751</v>
      </c>
      <c r="G47" s="663"/>
      <c r="H47" s="1019"/>
      <c r="I47" s="663"/>
      <c r="J47" s="1019"/>
      <c r="K47" s="270"/>
    </row>
    <row s="1661" customFormat="1" customHeight="1" ht="11.25" hidden="1">
      <c r="A48" s="2219"/>
      <c r="B48" s="507"/>
      <c r="D48" s="660" t="s">
        <v>765</v>
      </c>
      <c r="E48" s="666" t="s">
        <v>766</v>
      </c>
      <c r="F48" s="655" t="s">
        <v>751</v>
      </c>
      <c r="G48" s="663"/>
      <c r="H48" s="1019"/>
      <c r="I48" s="663"/>
      <c r="J48" s="1019"/>
      <c r="K48" s="270"/>
    </row>
    <row s="1661" customFormat="1" customHeight="1" ht="11.25" hidden="1">
      <c r="A49" s="2219"/>
      <c r="B49" s="507"/>
      <c r="D49" s="660" t="s">
        <v>767</v>
      </c>
      <c r="E49" s="666" t="s">
        <v>768</v>
      </c>
      <c r="F49" s="655" t="s">
        <v>751</v>
      </c>
      <c r="G49" s="663"/>
      <c r="H49" s="1019"/>
      <c r="I49" s="663"/>
      <c r="J49" s="1019"/>
      <c r="K49" s="270"/>
    </row>
    <row s="1661" customFormat="1" customHeight="1" ht="11.25" hidden="1">
      <c r="A50" s="2219"/>
      <c r="B50" s="507"/>
      <c r="D50" s="660" t="s">
        <v>769</v>
      </c>
      <c r="E50" s="662" t="s">
        <v>770</v>
      </c>
      <c r="F50" s="655" t="s">
        <v>751</v>
      </c>
      <c r="G50" s="663"/>
      <c r="H50" s="1019"/>
      <c r="I50" s="663"/>
      <c r="J50" s="1019"/>
      <c r="K50" s="270"/>
    </row>
    <row s="1661" customFormat="1" customHeight="1" ht="11.25" hidden="1">
      <c r="A51" s="2219"/>
      <c r="B51" s="507"/>
      <c r="D51" s="660" t="s">
        <v>771</v>
      </c>
      <c r="E51" s="662" t="s">
        <v>772</v>
      </c>
      <c r="F51" s="655" t="s">
        <v>751</v>
      </c>
      <c r="G51" s="663"/>
      <c r="H51" s="1019"/>
      <c r="I51" s="663"/>
      <c r="J51" s="1019"/>
      <c r="K51" s="270"/>
    </row>
    <row s="1661" customFormat="1" customHeight="1" ht="45" hidden="1">
      <c r="A52" s="2219"/>
      <c r="B52" s="507"/>
      <c r="D52" s="660" t="s">
        <v>108</v>
      </c>
      <c r="E52" s="661" t="s">
        <v>773</v>
      </c>
      <c r="F52" s="655" t="s">
        <v>751</v>
      </c>
      <c r="G52" s="663"/>
      <c r="H52" s="1019"/>
      <c r="I52" s="663"/>
      <c r="J52" s="1019"/>
      <c r="K52" s="270"/>
    </row>
    <row s="1661" customFormat="1" customHeight="1" ht="11.25" hidden="1">
      <c r="A53" s="2219"/>
      <c r="B53" s="507"/>
      <c r="D53" s="660" t="s">
        <v>299</v>
      </c>
      <c r="E53" s="662" t="s">
        <v>762</v>
      </c>
      <c r="F53" s="655" t="s">
        <v>751</v>
      </c>
      <c r="G53" s="663"/>
      <c r="H53" s="1019"/>
      <c r="I53" s="663"/>
      <c r="J53" s="1019"/>
      <c r="K53" s="270"/>
    </row>
    <row s="1661" customFormat="1" customHeight="1" ht="11.25" hidden="1">
      <c r="A54" s="2219"/>
      <c r="B54" s="507"/>
      <c r="D54" s="660" t="s">
        <v>301</v>
      </c>
      <c r="E54" s="662" t="s">
        <v>763</v>
      </c>
      <c r="F54" s="655" t="s">
        <v>751</v>
      </c>
      <c r="G54" s="663"/>
      <c r="H54" s="1019"/>
      <c r="I54" s="663"/>
      <c r="J54" s="1019"/>
      <c r="K54" s="270"/>
    </row>
    <row s="1661" customFormat="1" customHeight="1" ht="11.25" hidden="1">
      <c r="A55" s="2219"/>
      <c r="B55" s="507"/>
      <c r="D55" s="660" t="s">
        <v>304</v>
      </c>
      <c r="E55" s="662" t="s">
        <v>764</v>
      </c>
      <c r="F55" s="655" t="s">
        <v>751</v>
      </c>
      <c r="G55" s="663"/>
      <c r="H55" s="1019"/>
      <c r="I55" s="663"/>
      <c r="J55" s="1019"/>
      <c r="K55" s="270"/>
    </row>
    <row s="1661" customFormat="1" customHeight="1" ht="11.25" hidden="1">
      <c r="A56" s="2219"/>
      <c r="B56" s="507"/>
      <c r="D56" s="660" t="s">
        <v>774</v>
      </c>
      <c r="E56" s="666" t="s">
        <v>766</v>
      </c>
      <c r="F56" s="655" t="s">
        <v>751</v>
      </c>
      <c r="G56" s="663"/>
      <c r="H56" s="1019"/>
      <c r="I56" s="663"/>
      <c r="J56" s="1019"/>
      <c r="K56" s="270"/>
    </row>
    <row s="1661" customFormat="1" customHeight="1" ht="11.25" hidden="1">
      <c r="A57" s="2219"/>
      <c r="B57" s="507"/>
      <c r="D57" s="660" t="s">
        <v>775</v>
      </c>
      <c r="E57" s="666" t="s">
        <v>768</v>
      </c>
      <c r="F57" s="655" t="s">
        <v>751</v>
      </c>
      <c r="G57" s="663"/>
      <c r="H57" s="1019"/>
      <c r="I57" s="663"/>
      <c r="J57" s="1019"/>
      <c r="K57" s="270"/>
    </row>
    <row s="1661" customFormat="1" customHeight="1" ht="11.25" hidden="1">
      <c r="A58" s="2219"/>
      <c r="B58" s="507"/>
      <c r="D58" s="660" t="s">
        <v>306</v>
      </c>
      <c r="E58" s="662" t="s">
        <v>770</v>
      </c>
      <c r="F58" s="655" t="s">
        <v>751</v>
      </c>
      <c r="G58" s="663"/>
      <c r="H58" s="1019"/>
      <c r="I58" s="663"/>
      <c r="J58" s="1019"/>
      <c r="K58" s="270"/>
    </row>
    <row s="1661" customFormat="1" customHeight="1" ht="11.25" hidden="1">
      <c r="A59" s="2219"/>
      <c r="B59" s="507"/>
      <c r="D59" s="660" t="s">
        <v>776</v>
      </c>
      <c r="E59" s="662" t="s">
        <v>772</v>
      </c>
      <c r="F59" s="655" t="s">
        <v>751</v>
      </c>
      <c r="G59" s="663"/>
      <c r="H59" s="1019"/>
      <c r="I59" s="663"/>
      <c r="J59" s="1019"/>
      <c r="K59" s="270"/>
    </row>
    <row s="1661" customFormat="1" customHeight="1" ht="33.75" hidden="1">
      <c r="A60" s="2219"/>
      <c r="B60" s="507"/>
      <c r="D60" s="660" t="s">
        <v>88</v>
      </c>
      <c r="E60" s="661" t="s">
        <v>777</v>
      </c>
      <c r="F60" s="716" t="s">
        <v>536</v>
      </c>
      <c r="G60" s="737"/>
      <c r="H60" s="1019"/>
      <c r="I60" s="737"/>
      <c r="J60" s="1019"/>
      <c r="K60" s="282" t="s">
        <v>778</v>
      </c>
    </row>
    <row s="1661" customFormat="1" customHeight="1" ht="33.75" hidden="1">
      <c r="A61" s="2219"/>
      <c r="B61" s="507"/>
      <c r="D61" s="660" t="s">
        <v>89</v>
      </c>
      <c r="E61" s="661" t="s">
        <v>779</v>
      </c>
      <c r="F61" s="721" t="s">
        <v>712</v>
      </c>
      <c r="G61" s="663"/>
      <c r="H61" s="1019"/>
      <c r="I61" s="663"/>
      <c r="J61" s="1019"/>
      <c r="K61" s="270"/>
    </row>
    <row s="1661" customFormat="1" customHeight="1" ht="22.5" hidden="1">
      <c r="A62" s="2219"/>
      <c r="B62" s="507" t="s">
        <v>566</v>
      </c>
      <c r="D62" s="660" t="s">
        <v>109</v>
      </c>
      <c r="E62" s="661" t="s">
        <v>780</v>
      </c>
      <c r="F62" s="721" t="s">
        <v>290</v>
      </c>
      <c r="G62" s="379"/>
      <c r="H62" s="1019"/>
      <c r="I62" s="379"/>
      <c r="J62" s="1019"/>
      <c r="K62" s="270" t="s">
        <v>781</v>
      </c>
    </row>
    <row s="1661" customFormat="1" customHeight="1" ht="45" hidden="1">
      <c r="A63" s="2219"/>
      <c r="B63" s="507" t="s">
        <v>566</v>
      </c>
      <c r="D63" s="660" t="s">
        <v>782</v>
      </c>
      <c r="E63" s="662" t="s">
        <v>783</v>
      </c>
      <c r="F63" s="716" t="s">
        <v>290</v>
      </c>
      <c r="G63" s="379"/>
      <c r="H63" s="1019"/>
      <c r="I63" s="379"/>
      <c r="J63" s="1019"/>
      <c r="K63" s="270" t="s">
        <v>781</v>
      </c>
    </row>
    <row s="1661" customFormat="1" customHeight="1" ht="11.25">
      <c r="A64" s="1029"/>
      <c r="B64" s="514"/>
      <c r="D64" s="1030"/>
      <c r="E64" s="1031"/>
    </row>
    <row s="1661" customFormat="1" customHeight="1" ht="22.5">
      <c r="A65" s="2219" t="s">
        <v>784</v>
      </c>
      <c r="B65" s="507"/>
      <c r="D65" s="660">
        <v>1</v>
      </c>
      <c r="E65" s="739" t="s">
        <v>785</v>
      </c>
      <c r="F65" s="735" t="s">
        <v>702</v>
      </c>
      <c r="G65" s="736"/>
      <c r="H65" s="1025"/>
      <c r="I65" s="736"/>
      <c r="J65" s="1025"/>
      <c r="K65" s="281" t="s">
        <v>786</v>
      </c>
    </row>
    <row s="1661" customFormat="1" customHeight="1" ht="56.25">
      <c r="A66" s="2219"/>
      <c r="B66" s="507"/>
      <c r="D66" s="738" t="s">
        <v>107</v>
      </c>
      <c r="E66" s="702" t="s">
        <v>787</v>
      </c>
      <c r="F66" s="655" t="s">
        <v>524</v>
      </c>
      <c r="G66" s="655" t="s">
        <v>524</v>
      </c>
      <c r="H66" s="515"/>
      <c r="I66" s="655" t="s">
        <v>524</v>
      </c>
      <c r="J66" s="515"/>
      <c r="K66" s="270"/>
    </row>
    <row s="1661" customFormat="1" customHeight="1" ht="33.75">
      <c r="A67" s="2219"/>
      <c r="B67" s="507"/>
      <c r="D67" s="738" t="s">
        <v>600</v>
      </c>
      <c r="E67" s="950" t="s">
        <v>788</v>
      </c>
      <c r="F67" s="655" t="s">
        <v>754</v>
      </c>
      <c r="G67" s="722"/>
      <c r="H67" s="515"/>
      <c r="I67" s="722"/>
      <c r="J67" s="515"/>
      <c r="K67" s="270"/>
    </row>
    <row s="1661" customFormat="1" customHeight="1" ht="22.5">
      <c r="A68" s="2219"/>
      <c r="B68" s="507"/>
      <c r="D68" s="738" t="s">
        <v>291</v>
      </c>
      <c r="E68" s="950" t="s">
        <v>789</v>
      </c>
      <c r="F68" s="655" t="s">
        <v>754</v>
      </c>
      <c r="G68" s="722"/>
      <c r="H68" s="515"/>
      <c r="I68" s="722"/>
      <c r="J68" s="515"/>
      <c r="K68" s="270"/>
    </row>
    <row s="1661" customFormat="1" customHeight="1" ht="22.5">
      <c r="A69" s="2219"/>
      <c r="B69" s="507"/>
      <c r="D69" s="738" t="s">
        <v>294</v>
      </c>
      <c r="E69" s="950" t="s">
        <v>790</v>
      </c>
      <c r="F69" s="716" t="s">
        <v>536</v>
      </c>
      <c r="G69" s="737"/>
      <c r="H69" s="515"/>
      <c r="I69" s="737"/>
      <c r="J69" s="515"/>
      <c r="K69" s="270"/>
    </row>
    <row s="1661" customFormat="1" customHeight="1" ht="22.5">
      <c r="A70" s="2219"/>
      <c r="B70" s="507"/>
      <c r="D70" s="738" t="s">
        <v>620</v>
      </c>
      <c r="E70" s="950" t="s">
        <v>791</v>
      </c>
      <c r="F70" s="716" t="s">
        <v>536</v>
      </c>
      <c r="G70" s="737"/>
      <c r="H70" s="515"/>
      <c r="I70" s="737"/>
      <c r="J70" s="515"/>
      <c r="K70" s="270"/>
    </row>
    <row s="1661" customFormat="1" customHeight="1" ht="22.5">
      <c r="A71" s="2219"/>
      <c r="B71" s="507"/>
      <c r="D71" s="660" t="s">
        <v>86</v>
      </c>
      <c r="E71" s="661" t="s">
        <v>792</v>
      </c>
      <c r="F71" s="655" t="s">
        <v>754</v>
      </c>
      <c r="G71" s="553"/>
      <c r="H71" s="1026"/>
      <c r="I71" s="553"/>
      <c r="J71" s="1026"/>
      <c r="K71" s="282"/>
    </row>
    <row s="1661" customFormat="1" customHeight="1" ht="56.25">
      <c r="A72" s="2219"/>
      <c r="B72" s="507"/>
      <c r="D72" s="660" t="s">
        <v>87</v>
      </c>
      <c r="E72" s="661" t="s">
        <v>793</v>
      </c>
      <c r="F72" s="716" t="s">
        <v>536</v>
      </c>
      <c r="G72" s="737"/>
      <c r="H72" s="1019"/>
      <c r="I72" s="737"/>
      <c r="J72" s="1019"/>
      <c r="K72" s="282"/>
    </row>
    <row s="1661" customFormat="1" customHeight="1" ht="33.75">
      <c r="A73" s="2219"/>
      <c r="B73" s="507"/>
      <c r="D73" s="660" t="s">
        <v>108</v>
      </c>
      <c r="E73" s="661" t="s">
        <v>794</v>
      </c>
      <c r="F73" s="721" t="s">
        <v>712</v>
      </c>
      <c r="G73" s="663"/>
      <c r="H73" s="1019"/>
      <c r="I73" s="663"/>
      <c r="J73" s="1019"/>
      <c r="K73" s="270"/>
    </row>
    <row s="1661" customFormat="1" customHeight="1" ht="22.5">
      <c r="A74" s="2219"/>
      <c r="B74" s="507" t="s">
        <v>566</v>
      </c>
      <c r="D74" s="660" t="s">
        <v>88</v>
      </c>
      <c r="E74" s="661" t="s">
        <v>795</v>
      </c>
      <c r="F74" s="721" t="s">
        <v>290</v>
      </c>
      <c r="G74" s="379"/>
      <c r="H74" s="1019"/>
      <c r="I74" s="379"/>
      <c r="J74" s="1019"/>
      <c r="K74" s="270" t="s">
        <v>781</v>
      </c>
    </row>
    <row s="1661" customFormat="1" customHeight="1" ht="45">
      <c r="A75" s="2219"/>
      <c r="B75" s="507" t="s">
        <v>566</v>
      </c>
      <c r="D75" s="660" t="s">
        <v>796</v>
      </c>
      <c r="E75" s="662" t="s">
        <v>797</v>
      </c>
      <c r="F75" s="716" t="s">
        <v>290</v>
      </c>
      <c r="G75" s="379"/>
      <c r="H75" s="1019"/>
      <c r="I75" s="379"/>
      <c r="J75" s="1019"/>
      <c r="K75" s="270" t="s">
        <v>781</v>
      </c>
    </row>
    <row s="1661" customFormat="1" customHeight="1" ht="11.25">
      <c r="A76" s="1029"/>
      <c r="B76" s="514"/>
      <c r="D76" s="1030"/>
      <c r="E76" s="1031"/>
    </row>
    <row s="1661" customFormat="1" customHeight="1" ht="11.25" hidden="1">
      <c r="A77" s="2219" t="s">
        <v>798</v>
      </c>
      <c r="B77" s="507"/>
      <c r="D77" s="660">
        <v>1</v>
      </c>
      <c r="E77" s="661" t="s">
        <v>799</v>
      </c>
      <c r="F77" s="716" t="s">
        <v>702</v>
      </c>
      <c r="G77" s="719"/>
      <c r="H77" s="1019"/>
      <c r="I77" s="719"/>
      <c r="J77" s="1019"/>
      <c r="K77" s="270" t="s">
        <v>800</v>
      </c>
    </row>
    <row s="1661" customFormat="1" customHeight="1" ht="11.25" hidden="1">
      <c r="A78" s="2219"/>
      <c r="B78" s="507"/>
      <c r="D78" s="660" t="s">
        <v>107</v>
      </c>
      <c r="E78" s="661" t="s">
        <v>801</v>
      </c>
      <c r="F78" s="716" t="s">
        <v>702</v>
      </c>
      <c r="G78" s="719"/>
      <c r="H78" s="1019"/>
      <c r="I78" s="719"/>
      <c r="J78" s="1019"/>
      <c r="K78" s="270" t="s">
        <v>802</v>
      </c>
    </row>
    <row s="1661" customFormat="1" customHeight="1" ht="22.5" hidden="1">
      <c r="A79" s="2219"/>
      <c r="B79" s="507"/>
      <c r="D79" s="660" t="s">
        <v>86</v>
      </c>
      <c r="E79" s="717" t="s">
        <v>803</v>
      </c>
      <c r="F79" s="655" t="s">
        <v>751</v>
      </c>
      <c r="G79" s="719"/>
      <c r="H79" s="1019"/>
      <c r="I79" s="719"/>
      <c r="J79" s="1019"/>
      <c r="K79" s="270" t="s">
        <v>804</v>
      </c>
    </row>
    <row s="1661" customFormat="1" customHeight="1" ht="11.25" hidden="1">
      <c r="A80" s="2219"/>
      <c r="B80" s="507"/>
      <c r="D80" s="660" t="s">
        <v>310</v>
      </c>
      <c r="E80" s="718" t="s">
        <v>805</v>
      </c>
      <c r="F80" s="655" t="s">
        <v>751</v>
      </c>
      <c r="G80" s="719"/>
      <c r="H80" s="1019"/>
      <c r="I80" s="719"/>
      <c r="J80" s="1019"/>
      <c r="K80" s="270"/>
    </row>
    <row s="1661" customFormat="1" customHeight="1" ht="11.25" hidden="1">
      <c r="A81" s="2219"/>
      <c r="B81" s="507"/>
      <c r="D81" s="660" t="s">
        <v>318</v>
      </c>
      <c r="E81" s="718" t="s">
        <v>806</v>
      </c>
      <c r="F81" s="655" t="s">
        <v>751</v>
      </c>
      <c r="G81" s="719"/>
      <c r="H81" s="1019"/>
      <c r="I81" s="719"/>
      <c r="J81" s="1019"/>
      <c r="K81" s="270"/>
    </row>
    <row s="1661" customFormat="1" customHeight="1" ht="11.25" hidden="1">
      <c r="A82" s="2219"/>
      <c r="B82" s="507"/>
      <c r="D82" s="660" t="s">
        <v>320</v>
      </c>
      <c r="E82" s="718" t="s">
        <v>807</v>
      </c>
      <c r="F82" s="655" t="s">
        <v>751</v>
      </c>
      <c r="G82" s="719"/>
      <c r="H82" s="1019"/>
      <c r="I82" s="719"/>
      <c r="J82" s="1019"/>
      <c r="K82" s="270"/>
    </row>
    <row s="1661" customFormat="1" customHeight="1" ht="11.25" hidden="1">
      <c r="A83" s="2219"/>
      <c r="B83" s="507"/>
      <c r="D83" s="660" t="s">
        <v>322</v>
      </c>
      <c r="E83" s="718" t="s">
        <v>808</v>
      </c>
      <c r="F83" s="655" t="s">
        <v>751</v>
      </c>
      <c r="G83" s="719"/>
      <c r="H83" s="1019"/>
      <c r="I83" s="719"/>
      <c r="J83" s="1019"/>
      <c r="K83" s="270"/>
    </row>
    <row s="1661" customFormat="1" customHeight="1" ht="11.25" hidden="1">
      <c r="A84" s="2219"/>
      <c r="B84" s="507"/>
      <c r="D84" s="660" t="s">
        <v>809</v>
      </c>
      <c r="E84" s="718" t="s">
        <v>810</v>
      </c>
      <c r="F84" s="655" t="s">
        <v>751</v>
      </c>
      <c r="G84" s="719"/>
      <c r="H84" s="1019"/>
      <c r="I84" s="719"/>
      <c r="J84" s="1019"/>
      <c r="K84" s="270"/>
    </row>
    <row s="1661" customFormat="1" customHeight="1" ht="11.25" hidden="1">
      <c r="A85" s="2219"/>
      <c r="B85" s="507"/>
      <c r="D85" s="660" t="s">
        <v>811</v>
      </c>
      <c r="E85" s="718" t="s">
        <v>812</v>
      </c>
      <c r="F85" s="655" t="s">
        <v>751</v>
      </c>
      <c r="G85" s="719"/>
      <c r="H85" s="1019"/>
      <c r="I85" s="719"/>
      <c r="J85" s="1019"/>
      <c r="K85" s="270"/>
    </row>
    <row s="1661" customFormat="1" customHeight="1" ht="11.25" hidden="1">
      <c r="A86" s="2219"/>
      <c r="B86" s="507"/>
      <c r="D86" s="660" t="s">
        <v>813</v>
      </c>
      <c r="E86" s="718" t="s">
        <v>814</v>
      </c>
      <c r="F86" s="655" t="s">
        <v>751</v>
      </c>
      <c r="G86" s="719"/>
      <c r="H86" s="1019"/>
      <c r="I86" s="719"/>
      <c r="J86" s="1019"/>
      <c r="K86" s="270"/>
    </row>
    <row s="1661" customFormat="1" customHeight="1" ht="45" hidden="1">
      <c r="A87" s="2219"/>
      <c r="B87" s="507"/>
      <c r="D87" s="660" t="s">
        <v>87</v>
      </c>
      <c r="E87" s="661" t="s">
        <v>815</v>
      </c>
      <c r="F87" s="655" t="s">
        <v>751</v>
      </c>
      <c r="G87" s="719"/>
      <c r="H87" s="1019"/>
      <c r="I87" s="719"/>
      <c r="J87" s="1019"/>
      <c r="K87" s="270" t="s">
        <v>816</v>
      </c>
    </row>
    <row s="1661" customFormat="1" customHeight="1" ht="11.25" hidden="1">
      <c r="A88" s="2219"/>
      <c r="B88" s="507"/>
      <c r="D88" s="660" t="s">
        <v>645</v>
      </c>
      <c r="E88" s="718" t="s">
        <v>805</v>
      </c>
      <c r="F88" s="655" t="s">
        <v>751</v>
      </c>
      <c r="G88" s="719"/>
      <c r="H88" s="1019"/>
      <c r="I88" s="719"/>
      <c r="J88" s="1019"/>
      <c r="K88" s="270"/>
    </row>
    <row s="1661" customFormat="1" customHeight="1" ht="11.25" hidden="1">
      <c r="A89" s="2219"/>
      <c r="B89" s="507"/>
      <c r="D89" s="660" t="s">
        <v>688</v>
      </c>
      <c r="E89" s="718" t="s">
        <v>806</v>
      </c>
      <c r="F89" s="655" t="s">
        <v>751</v>
      </c>
      <c r="G89" s="719"/>
      <c r="H89" s="1019"/>
      <c r="I89" s="719"/>
      <c r="J89" s="1019"/>
      <c r="K89" s="270"/>
    </row>
    <row s="1661" customFormat="1" customHeight="1" ht="11.25" hidden="1">
      <c r="A90" s="2219"/>
      <c r="B90" s="507"/>
      <c r="D90" s="660" t="s">
        <v>691</v>
      </c>
      <c r="E90" s="718" t="s">
        <v>807</v>
      </c>
      <c r="F90" s="655" t="s">
        <v>751</v>
      </c>
      <c r="G90" s="719"/>
      <c r="H90" s="1019"/>
      <c r="I90" s="719"/>
      <c r="J90" s="1019"/>
      <c r="K90" s="270"/>
    </row>
    <row s="1661" customFormat="1" customHeight="1" ht="11.25" hidden="1">
      <c r="A91" s="2219"/>
      <c r="B91" s="507"/>
      <c r="D91" s="660" t="s">
        <v>769</v>
      </c>
      <c r="E91" s="718" t="s">
        <v>808</v>
      </c>
      <c r="F91" s="655" t="s">
        <v>751</v>
      </c>
      <c r="G91" s="719"/>
      <c r="H91" s="1019"/>
      <c r="I91" s="719"/>
      <c r="J91" s="1019"/>
      <c r="K91" s="270"/>
    </row>
    <row s="1661" customFormat="1" customHeight="1" ht="11.25" hidden="1">
      <c r="A92" s="2219"/>
      <c r="B92" s="507"/>
      <c r="D92" s="660" t="s">
        <v>771</v>
      </c>
      <c r="E92" s="718" t="s">
        <v>810</v>
      </c>
      <c r="F92" s="655" t="s">
        <v>751</v>
      </c>
      <c r="G92" s="719"/>
      <c r="H92" s="1019"/>
      <c r="I92" s="719"/>
      <c r="J92" s="1019"/>
      <c r="K92" s="270"/>
    </row>
    <row s="1661" customFormat="1" customHeight="1" ht="11.25" hidden="1">
      <c r="A93" s="2219"/>
      <c r="B93" s="507"/>
      <c r="D93" s="660" t="s">
        <v>817</v>
      </c>
      <c r="E93" s="718" t="s">
        <v>812</v>
      </c>
      <c r="F93" s="655" t="s">
        <v>751</v>
      </c>
      <c r="G93" s="719"/>
      <c r="H93" s="1019"/>
      <c r="I93" s="719"/>
      <c r="J93" s="1019"/>
      <c r="K93" s="270"/>
    </row>
    <row s="1661" customFormat="1" customHeight="1" ht="11.25" hidden="1">
      <c r="A94" s="2219"/>
      <c r="B94" s="507"/>
      <c r="D94" s="660" t="s">
        <v>818</v>
      </c>
      <c r="E94" s="718" t="s">
        <v>814</v>
      </c>
      <c r="F94" s="655" t="s">
        <v>751</v>
      </c>
      <c r="G94" s="719"/>
      <c r="H94" s="1019"/>
      <c r="I94" s="719"/>
      <c r="J94" s="1019"/>
      <c r="K94" s="270"/>
    </row>
    <row s="1661" customFormat="1" customHeight="1" ht="24.75" hidden="1">
      <c r="A95" s="2219"/>
      <c r="B95" s="507"/>
      <c r="D95" s="660" t="s">
        <v>108</v>
      </c>
      <c r="E95" s="661" t="s">
        <v>819</v>
      </c>
      <c r="F95" s="720" t="s">
        <v>536</v>
      </c>
      <c r="G95" s="722"/>
      <c r="H95" s="1019"/>
      <c r="I95" s="722"/>
      <c r="J95" s="1019"/>
      <c r="K95" s="270" t="s">
        <v>820</v>
      </c>
    </row>
    <row s="1661" customFormat="1" customHeight="1" ht="33.75" hidden="1">
      <c r="A96" s="2219"/>
      <c r="B96" s="507"/>
      <c r="D96" s="660" t="s">
        <v>88</v>
      </c>
      <c r="E96" s="661" t="s">
        <v>821</v>
      </c>
      <c r="F96" s="721" t="s">
        <v>712</v>
      </c>
      <c r="G96" s="723"/>
      <c r="H96" s="1019"/>
      <c r="I96" s="723"/>
      <c r="J96" s="1019"/>
      <c r="K96" s="270"/>
    </row>
    <row s="1661" customFormat="1" customHeight="1" ht="22.5" hidden="1">
      <c r="A97" s="2219"/>
      <c r="B97" s="507" t="s">
        <v>566</v>
      </c>
      <c r="D97" s="660" t="s">
        <v>89</v>
      </c>
      <c r="E97" s="661" t="s">
        <v>822</v>
      </c>
      <c r="F97" s="721" t="s">
        <v>290</v>
      </c>
      <c r="G97" s="382"/>
      <c r="H97" s="1019"/>
      <c r="I97" s="382"/>
      <c r="J97" s="1019"/>
      <c r="K97" s="270" t="s">
        <v>781</v>
      </c>
    </row>
    <row s="1661" customFormat="1" customHeight="1" ht="45" hidden="1">
      <c r="A98" s="2219"/>
      <c r="B98" s="507" t="s">
        <v>566</v>
      </c>
      <c r="D98" s="660" t="s">
        <v>823</v>
      </c>
      <c r="E98" s="662" t="s">
        <v>824</v>
      </c>
      <c r="F98" s="716" t="s">
        <v>290</v>
      </c>
      <c r="G98" s="382"/>
      <c r="H98" s="1019"/>
      <c r="I98" s="382"/>
      <c r="J98" s="1019"/>
      <c r="K98" s="270" t="s">
        <v>781</v>
      </c>
    </row>
    <row s="1661" customFormat="1" customHeight="1" ht="95.25" hidden="1">
      <c r="A99" s="2219"/>
      <c r="B99" s="507" t="s">
        <v>566</v>
      </c>
      <c r="D99" s="660" t="s">
        <v>109</v>
      </c>
      <c r="E99" s="661" t="s">
        <v>825</v>
      </c>
      <c r="F99" s="716" t="s">
        <v>290</v>
      </c>
      <c r="G99" s="382"/>
      <c r="H99" s="1019"/>
      <c r="I99" s="382"/>
      <c r="J99" s="1019"/>
      <c r="K99" s="270" t="s">
        <v>781</v>
      </c>
    </row>
    <row s="1661" customFormat="1" customHeight="1" ht="22.5" hidden="1">
      <c r="A100" s="2219"/>
      <c r="B100" s="507" t="s">
        <v>566</v>
      </c>
      <c r="D100" s="660" t="s">
        <v>146</v>
      </c>
      <c r="E100" s="661" t="s">
        <v>826</v>
      </c>
      <c r="F100" s="716" t="s">
        <v>290</v>
      </c>
      <c r="G100" s="382"/>
      <c r="H100" s="1019"/>
      <c r="I100" s="382"/>
      <c r="J100" s="1019"/>
      <c r="K100" s="270" t="s">
        <v>781</v>
      </c>
    </row>
    <row s="1661" customFormat="1" customHeight="1" ht="11.25">
      <c r="A101" s="1029"/>
      <c r="B101" s="514"/>
      <c r="D101" s="1030"/>
      <c r="E101" s="103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AD33D-ADF7-0E22-60A5-3521ED0CA4D1}"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384" width="93.421875" customWidth="1"/>
    <col min="12" max="20" style="1661" width="10.57421875"/>
    <col min="21" max="21" style="670" width="10.57421875"/>
  </cols>
  <sheetData>
    <row s="1384" customFormat="1" customHeight="1" ht="15" hidden="1">
      <c r="C1" s="667"/>
      <c r="G1" s="414">
        <v>4</v>
      </c>
      <c r="I1" s="414">
        <v>4</v>
      </c>
      <c r="U1" s="417"/>
    </row>
    <row s="1384" customFormat="1" customHeight="1" ht="15" hidden="1">
      <c r="C2" s="667"/>
      <c r="U2" s="417"/>
    </row>
    <row customHeight="1" ht="22.5" hidden="1">
      <c r="A3" s="501"/>
      <c r="B3" s="2221"/>
      <c r="C3" s="2222"/>
      <c r="D3" s="684" t="str">
        <f>B3&amp;".1"</f>
        <v>.1</v>
      </c>
      <c r="E3" s="685" t="s">
        <v>827</v>
      </c>
      <c r="F3" s="686" t="s">
        <v>290</v>
      </c>
      <c r="G3" s="681"/>
      <c r="H3" s="398"/>
      <c r="I3" s="681"/>
      <c r="J3" s="398"/>
      <c r="K3" s="270" t="s">
        <v>828</v>
      </c>
    </row>
    <row customHeight="1" ht="15" hidden="1">
      <c r="A4" s="501"/>
      <c r="B4" s="2221"/>
      <c r="C4" s="2222"/>
      <c r="D4" s="684" t="str">
        <f>B3&amp;".2"</f>
        <v>.2</v>
      </c>
      <c r="E4" s="685" t="s">
        <v>829</v>
      </c>
      <c r="F4" s="686" t="s">
        <v>290</v>
      </c>
      <c r="G4" s="1763" t="s">
        <v>18</v>
      </c>
      <c r="H4" s="398"/>
      <c r="I4" s="1763" t="s">
        <v>18</v>
      </c>
      <c r="J4" s="398"/>
      <c r="K4" s="270" t="s">
        <v>830</v>
      </c>
    </row>
    <row s="1384" customFormat="1" customHeight="1" ht="15" hidden="1">
      <c r="C5" s="667"/>
      <c r="U5" s="417"/>
    </row>
    <row customHeight="1" ht="22.5" hidden="1">
      <c r="A6" s="501"/>
      <c r="B6" s="2221"/>
      <c r="C6" s="2222"/>
      <c r="D6" s="684" t="str">
        <f>B6&amp;".1"</f>
        <v>.1</v>
      </c>
      <c r="E6" s="685" t="s">
        <v>831</v>
      </c>
      <c r="F6" s="686" t="s">
        <v>290</v>
      </c>
      <c r="G6" s="681"/>
      <c r="H6" s="398"/>
      <c r="I6" s="681"/>
      <c r="J6" s="398"/>
      <c r="K6" s="270" t="s">
        <v>832</v>
      </c>
    </row>
    <row customHeight="1" ht="15" hidden="1">
      <c r="A7" s="501"/>
      <c r="B7" s="2221"/>
      <c r="C7" s="2222"/>
      <c r="D7" s="684" t="str">
        <f>B6&amp;".2"</f>
        <v>.2</v>
      </c>
      <c r="E7" s="685" t="s">
        <v>829</v>
      </c>
      <c r="F7" s="686" t="s">
        <v>290</v>
      </c>
      <c r="G7" s="1763" t="s">
        <v>18</v>
      </c>
      <c r="H7" s="398"/>
      <c r="I7" s="1763" t="s">
        <v>18</v>
      </c>
      <c r="J7" s="398"/>
      <c r="K7" s="270" t="s">
        <v>830</v>
      </c>
    </row>
    <row s="1384" customFormat="1" customHeight="1" ht="15" hidden="1">
      <c r="C8" s="667"/>
      <c r="U8" s="417"/>
    </row>
    <row customHeight="1" ht="22.5" hidden="1">
      <c r="A9" s="501"/>
      <c r="B9" s="2221"/>
      <c r="C9" s="2222"/>
      <c r="D9" s="684" t="str">
        <f>B9&amp;".1"</f>
        <v>.1</v>
      </c>
      <c r="E9" s="685" t="s">
        <v>833</v>
      </c>
      <c r="F9" s="686" t="s">
        <v>290</v>
      </c>
      <c r="G9" s="692" t="s">
        <v>18</v>
      </c>
      <c r="H9" s="398" t="s">
        <v>18</v>
      </c>
      <c r="I9" s="692" t="s">
        <v>18</v>
      </c>
      <c r="J9" s="398" t="s">
        <v>18</v>
      </c>
      <c r="K9" s="270"/>
    </row>
    <row customHeight="1" ht="15" hidden="1">
      <c r="A10" s="501"/>
      <c r="B10" s="2221"/>
      <c r="C10" s="2222"/>
      <c r="D10" s="684" t="str">
        <f>B9&amp;".2"</f>
        <v>.2</v>
      </c>
      <c r="E10" s="685" t="s">
        <v>834</v>
      </c>
      <c r="F10" s="686" t="s">
        <v>290</v>
      </c>
      <c r="G10" s="1757" t="s">
        <v>18</v>
      </c>
      <c r="H10" s="398" t="s">
        <v>18</v>
      </c>
      <c r="I10" s="1757" t="s">
        <v>18</v>
      </c>
      <c r="J10" s="398" t="s">
        <v>18</v>
      </c>
      <c r="K10" s="270" t="s">
        <v>835</v>
      </c>
    </row>
    <row customHeight="1" ht="15" hidden="1">
      <c r="A11" s="501"/>
      <c r="B11" s="2221"/>
      <c r="C11" s="2222"/>
      <c r="D11" s="684" t="str">
        <f>B9&amp;".3"</f>
        <v>.3</v>
      </c>
      <c r="E11" s="685" t="s">
        <v>836</v>
      </c>
      <c r="F11" s="686" t="s">
        <v>290</v>
      </c>
      <c r="G11" s="1757" t="s">
        <v>18</v>
      </c>
      <c r="H11" s="398" t="s">
        <v>18</v>
      </c>
      <c r="I11" s="1757" t="s">
        <v>18</v>
      </c>
      <c r="J11" s="398" t="s">
        <v>18</v>
      </c>
      <c r="K11" s="270" t="s">
        <v>837</v>
      </c>
    </row>
    <row s="1384" customFormat="1" customHeight="1" ht="15" hidden="1">
      <c r="C12" s="667"/>
      <c r="U12" s="417"/>
    </row>
    <row customHeight="1" ht="33.75" hidden="1">
      <c r="A13" s="501"/>
      <c r="B13" s="2221"/>
      <c r="C13" s="2222"/>
      <c r="D13" s="684" t="str">
        <f>B13&amp;".1"</f>
        <v>.1</v>
      </c>
      <c r="E13" s="685" t="s">
        <v>838</v>
      </c>
      <c r="F13" s="686" t="s">
        <v>290</v>
      </c>
      <c r="G13" s="692" t="s">
        <v>18</v>
      </c>
      <c r="H13" s="398" t="s">
        <v>18</v>
      </c>
      <c r="I13" s="692" t="s">
        <v>18</v>
      </c>
      <c r="J13" s="398" t="s">
        <v>18</v>
      </c>
      <c r="K13" s="270" t="s">
        <v>839</v>
      </c>
    </row>
    <row customHeight="1" ht="15" hidden="1">
      <c r="B14" s="2221"/>
      <c r="C14" s="2222"/>
      <c r="D14" s="684" t="str">
        <f>B13&amp;".2"</f>
        <v>.2</v>
      </c>
      <c r="E14" s="685" t="s">
        <v>840</v>
      </c>
      <c r="F14" s="686" t="s">
        <v>290</v>
      </c>
      <c r="G14" s="1757" t="s">
        <v>18</v>
      </c>
      <c r="H14" s="398" t="s">
        <v>18</v>
      </c>
      <c r="I14" s="1757" t="s">
        <v>18</v>
      </c>
      <c r="J14" s="398" t="s">
        <v>18</v>
      </c>
      <c r="K14" s="270" t="s">
        <v>841</v>
      </c>
    </row>
    <row s="1384" customFormat="1" customHeight="1" ht="15" hidden="1">
      <c r="C15" s="667"/>
      <c r="U15" s="417"/>
    </row>
    <row s="1384" customFormat="1" customHeight="1" ht="15" hidden="1">
      <c r="C16" s="667"/>
      <c r="U16" s="417"/>
    </row>
    <row s="1384" customFormat="1" customHeight="1" ht="15" hidden="1">
      <c r="C17" s="667"/>
      <c r="U17" s="417"/>
    </row>
    <row s="1384" customFormat="1" customHeight="1" ht="15" hidden="1">
      <c r="C18" s="667"/>
      <c r="U18" s="417"/>
    </row>
    <row s="1384" customFormat="1" customHeight="1" ht="15" hidden="1">
      <c r="C19" s="667"/>
      <c r="U19" s="417"/>
    </row>
    <row s="1384" customFormat="1" customHeight="1" ht="15" hidden="1">
      <c r="C20" s="667"/>
      <c r="U20" s="417"/>
    </row>
    <row customHeight="1" ht="15">
      <c r="C21" s="156"/>
      <c r="D21" s="505"/>
      <c r="E21" s="505"/>
      <c r="F21" s="505"/>
      <c r="G21" s="505"/>
      <c r="H21" s="505"/>
      <c r="I21" s="505"/>
      <c r="J21" s="505"/>
    </row>
    <row customHeight="1" ht="22.5">
      <c r="C22" s="156"/>
      <c r="D22"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6"/>
      <c r="F22" s="2066"/>
      <c r="G22" s="2066"/>
      <c r="H22" s="2066"/>
      <c r="I22" s="2066"/>
      <c r="J22" s="671"/>
      <c r="K22" s="533"/>
    </row>
    <row customHeight="1" ht="15">
      <c r="C23" s="156"/>
      <c r="D23" s="2034" t="str">
        <f>IF(org=0,"Не определено",org)</f>
        <v>ИМУП «ПОСЖИЛКОМСЕРВИС»</v>
      </c>
      <c r="E23" s="2034"/>
      <c r="F23" s="2034"/>
      <c r="G23" s="2034"/>
      <c r="H23" s="2034"/>
      <c r="I23" s="2034"/>
      <c r="J23" s="671"/>
      <c r="K23" s="533"/>
    </row>
    <row customHeight="1" ht="15">
      <c r="C24" s="156"/>
      <c r="D24" s="505"/>
      <c r="E24" s="505"/>
      <c r="F24" s="505"/>
      <c r="G24" s="533">
        <v>22</v>
      </c>
      <c r="H24" s="748"/>
      <c r="I24" s="533">
        <v>22</v>
      </c>
      <c r="J24" s="748"/>
    </row>
    <row s="1661" customFormat="1" customHeight="1" ht="0.75">
      <c r="A25" s="755"/>
      <c r="C25" s="156"/>
      <c r="D25" s="505"/>
      <c r="E25" s="505"/>
      <c r="F25" s="505"/>
      <c r="G25" s="533"/>
      <c r="H25" s="748"/>
      <c r="I25" s="533" t="s">
        <v>114</v>
      </c>
      <c r="J25" s="748"/>
      <c r="K25" s="414"/>
      <c r="U25" s="670"/>
    </row>
    <row customHeight="1" ht="15">
      <c r="C26" s="156"/>
      <c r="D26" s="706"/>
      <c r="E26" s="2200" t="s">
        <v>102</v>
      </c>
      <c r="F26" s="2201"/>
      <c r="G26" s="2223" t="str">
        <f>IF(G25="","",INDEX(DIFFERENTIATION_UNMERGE_VD,MATCH(G25,DIFFERENTIATION_ID_DIFF,0)))</f>
        <v/>
      </c>
      <c r="H26" s="2224"/>
      <c r="I26" s="2223" t="str">
        <f>IF(I25="","",INDEX(DIFFERENTIATION_UNMERGE_VD,MATCH(I25,DIFFERENTIATION_ID_DIFF,0)))</f>
        <v>Горячее водоснабжение</v>
      </c>
      <c r="J26" s="2224"/>
      <c r="K26" s="2009" t="s">
        <v>285</v>
      </c>
    </row>
    <row s="1661" customFormat="1" customHeight="1" ht="15">
      <c r="A27" s="755"/>
      <c r="C27" s="156"/>
      <c r="D27" s="706"/>
      <c r="E27" s="2200" t="s">
        <v>542</v>
      </c>
      <c r="F27" s="2201"/>
      <c r="G27" s="2223" t="str">
        <f>IF(G25="","",INDEX(DIFFERENTIATION_UNMERGE_AREA,MATCH(G25,DIFFERENTIATION_ID_DIFF,0)))</f>
        <v/>
      </c>
      <c r="H27" s="2224"/>
      <c r="I27" s="2223" t="str">
        <f>IF(I25="","",INDEX(DIFFERENTIATION_UNMERGE_AREA,MATCH(I25,DIFFERENTIATION_ID_DIFF,0)))</f>
        <v>Территория 1</v>
      </c>
      <c r="J27" s="2224"/>
      <c r="K27" s="2013"/>
      <c r="U27" s="670"/>
    </row>
    <row s="1661" customFormat="1" customHeight="1" ht="15">
      <c r="A28" s="755"/>
      <c r="C28" s="156"/>
      <c r="D28" s="706"/>
      <c r="E28" s="2200" t="s">
        <v>543</v>
      </c>
      <c r="F28" s="2201"/>
      <c r="G28" s="2223" t="str">
        <f>IF(G25="","",INDEX(DIFFERENTIATION_UNMERGE_SYSTEM,MATCH(G25,DIFFERENTIATION_ID_DIFF,0)))</f>
        <v/>
      </c>
      <c r="H28" s="2224"/>
      <c r="I28" s="2223" t="str">
        <f>IF(I25="","",INDEX(DIFFERENTIATION_UNMERGE_SYSTEM,MATCH(I25,DIFFERENTIATION_ID_DIFF,0)))</f>
        <v>без дифференциации</v>
      </c>
      <c r="J28" s="2224"/>
      <c r="K28" s="2013"/>
      <c r="U28" s="670"/>
    </row>
    <row s="1661" customFormat="1" customHeight="1" ht="15">
      <c r="A29" s="755"/>
      <c r="C29" s="156"/>
      <c r="D29" s="2202" t="s">
        <v>284</v>
      </c>
      <c r="E29" s="2203"/>
      <c r="F29" s="2203"/>
      <c r="G29" s="882"/>
      <c r="H29" s="882"/>
      <c r="I29" s="882"/>
      <c r="J29" s="883"/>
      <c r="K29" s="2013"/>
      <c r="U29" s="670"/>
    </row>
    <row customHeight="1" ht="33.75">
      <c r="C30" s="156"/>
      <c r="D30" s="757" t="s">
        <v>84</v>
      </c>
      <c r="E30" s="756" t="s">
        <v>286</v>
      </c>
      <c r="F30" s="756" t="s">
        <v>544</v>
      </c>
      <c r="G30" s="803" t="s">
        <v>287</v>
      </c>
      <c r="H30" s="802" t="s">
        <v>376</v>
      </c>
      <c r="I30" s="679" t="s">
        <v>287</v>
      </c>
      <c r="J30" s="461" t="s">
        <v>376</v>
      </c>
      <c r="K30" s="2019"/>
    </row>
    <row customHeight="1" ht="15" hidden="1">
      <c r="C31" s="156"/>
      <c r="D31" s="589"/>
      <c r="E31" s="589"/>
      <c r="F31" s="589"/>
      <c r="G31" s="654"/>
      <c r="H31" s="654"/>
      <c r="I31" s="654"/>
      <c r="J31" s="654"/>
      <c r="K31" s="270"/>
    </row>
    <row customHeight="1" ht="22.5">
      <c r="A32" s="501"/>
      <c r="B32" s="501" t="s">
        <v>842</v>
      </c>
      <c r="C32" s="522"/>
      <c r="D32" s="687">
        <v>1</v>
      </c>
      <c r="E32" s="688" t="s">
        <v>843</v>
      </c>
      <c r="F32" s="686" t="s">
        <v>290</v>
      </c>
      <c r="G32" s="808" t="s">
        <v>290</v>
      </c>
      <c r="H32" s="808" t="s">
        <v>290</v>
      </c>
      <c r="I32" s="686" t="s">
        <v>290</v>
      </c>
      <c r="J32" s="686" t="s">
        <v>290</v>
      </c>
      <c r="K32" s="270"/>
    </row>
    <row customHeight="1" ht="11.25">
      <c r="A33" s="501"/>
      <c r="C33" s="501"/>
      <c r="D33" s="335"/>
      <c r="E33" s="576" t="s">
        <v>564</v>
      </c>
      <c r="F33" s="568"/>
      <c r="G33" s="568"/>
      <c r="H33" s="568"/>
      <c r="I33" s="568"/>
      <c r="J33" s="568"/>
      <c r="K33" s="569"/>
      <c r="U33" s="501"/>
    </row>
    <row customHeight="1" ht="22.5">
      <c r="A34" s="501"/>
      <c r="B34" s="577" t="s">
        <v>844</v>
      </c>
      <c r="C34" s="522"/>
      <c r="D34" s="687">
        <v>2</v>
      </c>
      <c r="E34" s="688" t="s">
        <v>845</v>
      </c>
      <c r="F34" s="815" t="s">
        <v>290</v>
      </c>
      <c r="G34" s="815" t="s">
        <v>290</v>
      </c>
      <c r="H34" s="815" t="s">
        <v>290</v>
      </c>
      <c r="I34" s="686"/>
      <c r="J34" s="686"/>
      <c r="K34" s="270"/>
    </row>
    <row customHeight="1" ht="11.25">
      <c r="A35" s="501"/>
      <c r="C35" s="501"/>
      <c r="D35" s="335"/>
      <c r="E35" s="576" t="s">
        <v>846</v>
      </c>
      <c r="F35" s="568"/>
      <c r="G35" s="689"/>
      <c r="H35" s="568"/>
      <c r="I35" s="689"/>
      <c r="J35" s="568"/>
      <c r="K35" s="569"/>
      <c r="U35" s="501"/>
    </row>
    <row customHeight="1" ht="67.5">
      <c r="A36" s="501"/>
      <c r="B36" s="501" t="s">
        <v>847</v>
      </c>
      <c r="C36" s="522"/>
      <c r="D36" s="687">
        <v>3</v>
      </c>
      <c r="E36" s="688" t="s">
        <v>848</v>
      </c>
      <c r="F36" s="690" t="s">
        <v>290</v>
      </c>
      <c r="G36" s="809" t="s">
        <v>849</v>
      </c>
      <c r="H36" s="808" t="s">
        <v>290</v>
      </c>
      <c r="I36" s="520" t="s">
        <v>849</v>
      </c>
      <c r="J36" s="686" t="s">
        <v>290</v>
      </c>
      <c r="K36" s="270" t="s">
        <v>850</v>
      </c>
    </row>
    <row customHeight="1" ht="11.25">
      <c r="A37" s="501"/>
      <c r="C37" s="501"/>
      <c r="D37" s="335"/>
      <c r="E37" s="576" t="s">
        <v>851</v>
      </c>
      <c r="F37" s="568"/>
      <c r="G37" s="689"/>
      <c r="H37" s="689"/>
      <c r="I37" s="689"/>
      <c r="J37" s="689"/>
      <c r="K37" s="569"/>
      <c r="U37" s="501"/>
    </row>
    <row customHeight="1" ht="67.5">
      <c r="A38" s="501"/>
      <c r="B38" s="501" t="s">
        <v>852</v>
      </c>
      <c r="C38" s="522"/>
      <c r="D38" s="687">
        <v>4</v>
      </c>
      <c r="E38" s="688" t="s">
        <v>853</v>
      </c>
      <c r="F38" s="690" t="s">
        <v>290</v>
      </c>
      <c r="G38" s="809" t="s">
        <v>849</v>
      </c>
      <c r="H38" s="810" t="s">
        <v>290</v>
      </c>
      <c r="I38" s="520" t="s">
        <v>849</v>
      </c>
      <c r="J38" s="517" t="s">
        <v>290</v>
      </c>
      <c r="K38" s="674" t="s">
        <v>854</v>
      </c>
    </row>
    <row customHeight="1" ht="11.25">
      <c r="A39" s="501"/>
      <c r="C39" s="501"/>
      <c r="D39" s="335"/>
      <c r="E39" s="576" t="s">
        <v>855</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3833D-7797-F88B-F072-A7DAEC8BB336}"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M5" s="578"/>
      <c r="AB5" s="901"/>
    </row>
    <row s="1661" customFormat="1" customHeight="1" ht="15.75">
      <c r="A6" s="1162"/>
      <c r="B6" s="1162"/>
      <c r="C6" s="1162"/>
      <c r="D6" s="1156"/>
      <c r="E6" s="1661"/>
      <c r="F6" s="2122" t="str">
        <f>IF(org=0,"Не определено",org)</f>
        <v>ИМУП «ПОСЖИЛКОМСЕРВИС»</v>
      </c>
      <c r="G6" s="2122"/>
      <c r="H6" s="2122"/>
      <c r="I6" s="2122"/>
      <c r="J6" s="2122"/>
      <c r="K6" s="2122"/>
      <c r="M6" s="578"/>
      <c r="AB6" s="1144"/>
    </row>
    <row r="8" customHeight="1" ht="10.5">
      <c r="A8" s="1047"/>
      <c r="B8" s="1047"/>
      <c r="C8" s="1047"/>
      <c r="F8" s="1936" t="s">
        <v>284</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84</v>
      </c>
      <c r="G9" s="1952" t="s">
        <v>856</v>
      </c>
      <c r="H9" s="2009" t="s">
        <v>857</v>
      </c>
      <c r="I9" s="1952" t="s">
        <v>858</v>
      </c>
      <c r="J9" s="1952" t="s">
        <v>859</v>
      </c>
      <c r="K9" s="1952" t="s">
        <v>860</v>
      </c>
      <c r="L9" s="1952" t="s">
        <v>861</v>
      </c>
      <c r="M9" s="1952" t="s">
        <v>862</v>
      </c>
      <c r="N9" s="2043" t="s">
        <v>863</v>
      </c>
      <c r="O9" s="2043"/>
      <c r="P9" s="2043"/>
      <c r="Q9" s="2229" t="s">
        <v>864</v>
      </c>
      <c r="R9" s="2230"/>
      <c r="S9" s="2230"/>
      <c r="T9" s="2231"/>
      <c r="U9" s="2229" t="s">
        <v>865</v>
      </c>
      <c r="V9" s="2230"/>
      <c r="W9" s="2230"/>
      <c r="X9" s="2231"/>
      <c r="Y9" s="1936" t="s">
        <v>866</v>
      </c>
      <c r="Z9" s="1937"/>
      <c r="AA9" s="1937"/>
      <c r="AB9" s="1938"/>
    </row>
    <row customHeight="1" ht="41.25">
      <c r="A10" s="900"/>
      <c r="B10" s="900"/>
      <c r="C10" s="900"/>
      <c r="F10" s="2009"/>
      <c r="G10" s="2009"/>
      <c r="H10" s="2071"/>
      <c r="I10" s="2009"/>
      <c r="J10" s="2009"/>
      <c r="K10" s="2009"/>
      <c r="L10" s="2009"/>
      <c r="M10" s="2009"/>
      <c r="N10" s="898" t="s">
        <v>867</v>
      </c>
      <c r="O10" s="898" t="s">
        <v>868</v>
      </c>
      <c r="P10" s="899" t="s">
        <v>869</v>
      </c>
      <c r="Q10" s="910" t="s">
        <v>85</v>
      </c>
      <c r="R10" s="910" t="s">
        <v>870</v>
      </c>
      <c r="S10" s="910" t="s">
        <v>871</v>
      </c>
      <c r="T10" s="911" t="s">
        <v>872</v>
      </c>
      <c r="U10" s="910" t="s">
        <v>85</v>
      </c>
      <c r="V10" s="910" t="s">
        <v>873</v>
      </c>
      <c r="W10" s="910" t="s">
        <v>871</v>
      </c>
      <c r="X10" s="911" t="s">
        <v>872</v>
      </c>
      <c r="Y10" s="281" t="s">
        <v>874</v>
      </c>
      <c r="Z10" s="1936" t="s">
        <v>84</v>
      </c>
      <c r="AA10" s="1938"/>
      <c r="AB10" s="1045" t="s">
        <v>875</v>
      </c>
    </row>
    <row s="1668" customFormat="1" customHeight="1" ht="5.25" hidden="1">
      <c r="A11" s="1048"/>
      <c r="B11" s="1048"/>
      <c r="C11" s="1048"/>
      <c r="E11" s="1046"/>
      <c r="F11" s="2227" t="s">
        <v>362</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876</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877</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20691-7B3D-73CE-790F-3466408E066F}"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L5" s="1131"/>
      <c r="M5" s="1131"/>
      <c r="AG5" s="901"/>
      <c r="AH5" s="1144"/>
    </row>
    <row customHeight="1" ht="10.5">
      <c r="F6" s="2034" t="str">
        <f>IF(org=0,"Не определено",org)</f>
        <v>ИМУП «ПОСЖИЛКОМСЕРВИС»</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284</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878</v>
      </c>
      <c r="G9" s="2236" t="s">
        <v>879</v>
      </c>
      <c r="H9" s="2237"/>
      <c r="I9" s="1952" t="s">
        <v>880</v>
      </c>
      <c r="J9" s="1952"/>
      <c r="K9" s="1952" t="s">
        <v>881</v>
      </c>
      <c r="L9" s="1952"/>
      <c r="M9" s="1952"/>
      <c r="N9" s="1952"/>
      <c r="O9" s="1952"/>
      <c r="P9" s="1952"/>
      <c r="Q9" s="1952"/>
      <c r="R9" s="1952"/>
      <c r="S9" s="1952"/>
      <c r="T9" s="1952"/>
      <c r="U9" s="1952"/>
      <c r="V9" s="1952"/>
      <c r="W9" s="1952"/>
      <c r="X9" s="1952"/>
      <c r="Y9" s="1952"/>
      <c r="Z9" s="2010" t="s">
        <v>882</v>
      </c>
      <c r="AA9" s="2011"/>
      <c r="AB9" s="1952" t="s">
        <v>883</v>
      </c>
      <c r="AC9" s="1952"/>
      <c r="AD9" s="1952"/>
      <c r="AE9" s="1952"/>
      <c r="AF9" s="2009" t="s">
        <v>884</v>
      </c>
      <c r="AG9" s="1952" t="s">
        <v>885</v>
      </c>
      <c r="AH9" s="1952"/>
      <c r="AI9" s="2009" t="s">
        <v>886</v>
      </c>
      <c r="AJ9" s="1952" t="s">
        <v>887</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888</v>
      </c>
      <c r="L10" s="1936" t="s">
        <v>889</v>
      </c>
      <c r="M10" s="1938"/>
      <c r="N10" s="1952" t="s">
        <v>890</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891</v>
      </c>
      <c r="M11" s="2009" t="s">
        <v>892</v>
      </c>
      <c r="N11" s="1952" t="s">
        <v>893</v>
      </c>
      <c r="O11" s="1952"/>
      <c r="P11" s="2233" t="s">
        <v>874</v>
      </c>
      <c r="Q11" s="2233" t="s">
        <v>894</v>
      </c>
      <c r="R11" s="2233" t="s">
        <v>895</v>
      </c>
      <c r="S11" s="2233" t="s">
        <v>896</v>
      </c>
      <c r="T11" s="2233"/>
      <c r="U11" s="2233"/>
      <c r="V11" s="2233"/>
      <c r="W11" s="2233"/>
      <c r="X11" s="2233"/>
      <c r="Y11" s="2233"/>
      <c r="Z11" s="2012"/>
      <c r="AA11" s="2013"/>
      <c r="AB11" s="1952" t="s">
        <v>897</v>
      </c>
      <c r="AC11" s="1952"/>
      <c r="AD11" s="1936" t="s">
        <v>898</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85</v>
      </c>
      <c r="J12" s="1149" t="s">
        <v>899</v>
      </c>
      <c r="K12" s="1952"/>
      <c r="L12" s="2071"/>
      <c r="M12" s="2071"/>
      <c r="N12" s="1952"/>
      <c r="O12" s="1952"/>
      <c r="P12" s="2233"/>
      <c r="Q12" s="2233"/>
      <c r="R12" s="2233"/>
      <c r="S12" s="1130" t="s">
        <v>82</v>
      </c>
      <c r="T12" s="1130" t="s">
        <v>83</v>
      </c>
      <c r="U12" s="1130" t="s">
        <v>81</v>
      </c>
      <c r="V12" s="1130" t="s">
        <v>900</v>
      </c>
      <c r="W12" s="1130" t="s">
        <v>81</v>
      </c>
      <c r="X12" s="1130" t="s">
        <v>901</v>
      </c>
      <c r="Y12" s="1130" t="s">
        <v>902</v>
      </c>
      <c r="Z12" s="2018"/>
      <c r="AA12" s="2019"/>
      <c r="AB12" s="1137" t="s">
        <v>903</v>
      </c>
      <c r="AC12" s="1137" t="s">
        <v>904</v>
      </c>
      <c r="AD12" s="1137" t="s">
        <v>903</v>
      </c>
      <c r="AE12" s="1137" t="s">
        <v>904</v>
      </c>
      <c r="AF12" s="2071"/>
      <c r="AG12" s="1150" t="s">
        <v>905</v>
      </c>
      <c r="AH12" s="1150" t="s">
        <v>906</v>
      </c>
      <c r="AI12" s="2071"/>
      <c r="AJ12" s="1150" t="s">
        <v>905</v>
      </c>
      <c r="AK12" s="1150" t="s">
        <v>906</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907</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410D4-C5A2-3AEF-CEB1-7A08C1F075A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21"/>
      <c r="H5" s="2121"/>
      <c r="I5" s="2121"/>
      <c r="J5" s="2121"/>
    </row>
    <row customHeight="1" ht="10.5">
      <c r="F6" s="2034" t="str">
        <f>IF(org=0,"Не определено",org)</f>
        <v>ИМУП «ПОСЖИЛКОМСЕРВИС»</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284</v>
      </c>
      <c r="G9" s="2246"/>
      <c r="H9" s="2246"/>
      <c r="I9" s="2246"/>
      <c r="J9" s="2246"/>
      <c r="K9" s="1246"/>
      <c r="L9" s="1153"/>
      <c r="M9" s="1153"/>
      <c r="N9" s="1153"/>
      <c r="O9" s="1153"/>
      <c r="P9" s="1153"/>
      <c r="Q9" s="1153"/>
      <c r="R9" s="1153"/>
      <c r="S9" s="1153"/>
      <c r="T9" s="1153"/>
      <c r="U9" s="1153"/>
      <c r="V9" s="1153"/>
    </row>
    <row customHeight="1" ht="24">
      <c r="E10" s="1153"/>
      <c r="F10" s="2249" t="s">
        <v>84</v>
      </c>
      <c r="G10" s="2254" t="s">
        <v>908</v>
      </c>
      <c r="H10" s="2252" t="s">
        <v>909</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910</v>
      </c>
      <c r="I12" s="1238"/>
      <c r="J12" s="1232"/>
      <c r="K12" s="1240"/>
    </row>
    <row customHeight="1" ht="10.5" hidden="1">
      <c r="F13" s="1232">
        <v>1</v>
      </c>
      <c r="G13" s="1232">
        <v>2</v>
      </c>
      <c r="H13" s="1232">
        <v>3</v>
      </c>
      <c r="I13" s="1232">
        <v>4</v>
      </c>
      <c r="J13" s="1232">
        <v>5</v>
      </c>
      <c r="K13" s="1240"/>
    </row>
    <row customHeight="1" ht="11.25">
      <c r="F14" s="1231" t="s">
        <v>911</v>
      </c>
      <c r="G14" s="2247" t="s">
        <v>912</v>
      </c>
      <c r="H14" s="2247"/>
      <c r="I14" s="2247"/>
      <c r="J14" s="2247"/>
      <c r="K14" s="1240"/>
    </row>
    <row customHeight="1" ht="11.25">
      <c r="F15" s="1236">
        <v>1</v>
      </c>
      <c r="G15" s="685" t="s">
        <v>913</v>
      </c>
      <c r="H15" s="1242">
        <f>SUM(I15:J15)</f>
        <v>0</v>
      </c>
      <c r="I15" s="1242">
        <f>SUM(I16:I27)</f>
        <v>0</v>
      </c>
      <c r="J15" s="1231"/>
      <c r="K15" s="1240"/>
    </row>
    <row customHeight="1" ht="22.5">
      <c r="F16" s="1236" t="s">
        <v>914</v>
      </c>
      <c r="G16" s="1243" t="s">
        <v>915</v>
      </c>
      <c r="H16" s="1242">
        <f>SUM(I16:J16)</f>
        <v>0</v>
      </c>
      <c r="I16" s="1241"/>
      <c r="J16" s="1231"/>
      <c r="K16" s="1240"/>
    </row>
    <row customHeight="1" ht="22.5">
      <c r="F17" s="1236" t="s">
        <v>916</v>
      </c>
      <c r="G17" s="1243" t="s">
        <v>917</v>
      </c>
      <c r="H17" s="1242">
        <f>SUM(I17:J17)</f>
        <v>0</v>
      </c>
      <c r="I17" s="1241"/>
      <c r="J17" s="1231"/>
      <c r="K17" s="1240"/>
    </row>
    <row customHeight="1" ht="33.75">
      <c r="F18" s="1236" t="s">
        <v>918</v>
      </c>
      <c r="G18" s="1243" t="s">
        <v>919</v>
      </c>
      <c r="H18" s="1242">
        <f>SUM(I18:J18)</f>
        <v>0</v>
      </c>
      <c r="I18" s="1241"/>
      <c r="J18" s="1231"/>
      <c r="K18" s="1240"/>
    </row>
    <row customHeight="1" ht="33.75">
      <c r="F19" s="1236" t="s">
        <v>920</v>
      </c>
      <c r="G19" s="1243" t="s">
        <v>921</v>
      </c>
      <c r="H19" s="1242">
        <f>SUM(I19:J19)</f>
        <v>0</v>
      </c>
      <c r="I19" s="1241"/>
      <c r="J19" s="1231"/>
      <c r="K19" s="1240"/>
    </row>
    <row customHeight="1" ht="45">
      <c r="F20" s="1236" t="s">
        <v>922</v>
      </c>
      <c r="G20" s="1243" t="s">
        <v>923</v>
      </c>
      <c r="H20" s="1242">
        <f>SUM(I20:J20)</f>
        <v>0</v>
      </c>
      <c r="I20" s="1241"/>
      <c r="J20" s="1231"/>
      <c r="K20" s="1240"/>
    </row>
    <row customHeight="1" ht="33.75">
      <c r="F21" s="1236" t="s">
        <v>924</v>
      </c>
      <c r="G21" s="1243" t="s">
        <v>925</v>
      </c>
      <c r="H21" s="1242">
        <f>SUM(I21:J21)</f>
        <v>0</v>
      </c>
      <c r="I21" s="1241"/>
      <c r="J21" s="1231"/>
      <c r="K21" s="1240"/>
    </row>
    <row customHeight="1" ht="33.75">
      <c r="F22" s="1236" t="s">
        <v>926</v>
      </c>
      <c r="G22" s="1243" t="s">
        <v>927</v>
      </c>
      <c r="H22" s="1242">
        <f>SUM(I22:J22)</f>
        <v>0</v>
      </c>
      <c r="I22" s="1241"/>
      <c r="J22" s="1231"/>
      <c r="K22" s="1240"/>
    </row>
    <row customHeight="1" ht="22.5">
      <c r="F23" s="1236" t="s">
        <v>928</v>
      </c>
      <c r="G23" s="1243" t="s">
        <v>929</v>
      </c>
      <c r="H23" s="1242">
        <f>SUM(I23:J23)</f>
        <v>0</v>
      </c>
      <c r="I23" s="1241"/>
      <c r="J23" s="1231"/>
      <c r="K23" s="1240"/>
    </row>
    <row customHeight="1" ht="22.5">
      <c r="F24" s="1236" t="s">
        <v>930</v>
      </c>
      <c r="G24" s="1243" t="s">
        <v>931</v>
      </c>
      <c r="H24" s="1242">
        <f>SUM(I24:J24)</f>
        <v>0</v>
      </c>
      <c r="I24" s="1241"/>
      <c r="J24" s="1231"/>
      <c r="K24" s="1240"/>
    </row>
    <row customHeight="1" ht="33.75">
      <c r="F25" s="1236" t="s">
        <v>932</v>
      </c>
      <c r="G25" s="1243" t="s">
        <v>933</v>
      </c>
      <c r="H25" s="1242">
        <f>SUM(I25:J25)</f>
        <v>0</v>
      </c>
      <c r="I25" s="1241"/>
      <c r="J25" s="1231"/>
      <c r="K25" s="1240"/>
    </row>
    <row customHeight="1" ht="33.75">
      <c r="F26" s="1236" t="s">
        <v>934</v>
      </c>
      <c r="G26" s="1243" t="s">
        <v>935</v>
      </c>
      <c r="H26" s="1242">
        <f>SUM(I26:J26)</f>
        <v>0</v>
      </c>
      <c r="I26" s="1241"/>
      <c r="J26" s="1231"/>
      <c r="K26" s="1240"/>
    </row>
    <row customHeight="1" ht="11.25">
      <c r="F27" s="1236" t="s">
        <v>936</v>
      </c>
      <c r="G27" s="1243" t="s">
        <v>937</v>
      </c>
      <c r="H27" s="1242">
        <f>SUM(I27:J27)</f>
        <v>0</v>
      </c>
      <c r="I27" s="1241"/>
      <c r="J27" s="1231"/>
      <c r="K27" s="1240"/>
    </row>
    <row customHeight="1" ht="11.25">
      <c r="F28" s="1236">
        <v>2</v>
      </c>
      <c r="G28" s="685" t="s">
        <v>938</v>
      </c>
      <c r="H28" s="1242">
        <f>SUM(I28:J28)</f>
        <v>0</v>
      </c>
      <c r="I28" s="1242">
        <f>SUM(I29:I31)</f>
        <v>0</v>
      </c>
      <c r="J28" s="1231"/>
      <c r="K28" s="1240"/>
    </row>
    <row customHeight="1" ht="11.25">
      <c r="F29" s="1236" t="s">
        <v>600</v>
      </c>
      <c r="G29" s="1243" t="s">
        <v>939</v>
      </c>
      <c r="H29" s="1242">
        <f>SUM(I29:J29)</f>
        <v>0</v>
      </c>
      <c r="I29" s="1241"/>
      <c r="J29" s="1231"/>
      <c r="K29" s="1240"/>
    </row>
    <row customHeight="1" ht="11.25">
      <c r="F30" s="1236" t="s">
        <v>291</v>
      </c>
      <c r="G30" s="1243" t="s">
        <v>940</v>
      </c>
      <c r="H30" s="1242">
        <f>SUM(I30:J30)</f>
        <v>0</v>
      </c>
      <c r="I30" s="1241"/>
      <c r="J30" s="1231"/>
      <c r="K30" s="1240"/>
    </row>
    <row customHeight="1" ht="11.25">
      <c r="F31" s="1236" t="s">
        <v>294</v>
      </c>
      <c r="G31" s="1243" t="s">
        <v>941</v>
      </c>
      <c r="H31" s="1242">
        <f>SUM(I31:J31)</f>
        <v>0</v>
      </c>
      <c r="I31" s="1241"/>
      <c r="J31" s="1231"/>
      <c r="K31" s="1240"/>
    </row>
    <row customHeight="1" ht="11.25">
      <c r="F32" s="1236">
        <v>3</v>
      </c>
      <c r="G32" s="685" t="s">
        <v>942</v>
      </c>
      <c r="H32" s="1242">
        <f>SUM(I32:J32)</f>
        <v>0</v>
      </c>
      <c r="I32" s="1242">
        <f>SUM(I33:I34)</f>
        <v>0</v>
      </c>
      <c r="J32" s="1231"/>
      <c r="K32" s="1240"/>
    </row>
    <row customHeight="1" ht="33.75">
      <c r="F33" s="1236" t="s">
        <v>310</v>
      </c>
      <c r="G33" s="1243" t="s">
        <v>943</v>
      </c>
      <c r="H33" s="1242">
        <f>SUM(I33:J33)</f>
        <v>0</v>
      </c>
      <c r="I33" s="1241"/>
      <c r="J33" s="1231"/>
      <c r="K33" s="1240"/>
    </row>
    <row customHeight="1" ht="11.25">
      <c r="F34" s="1236" t="s">
        <v>318</v>
      </c>
      <c r="G34" s="1243" t="s">
        <v>944</v>
      </c>
      <c r="H34" s="1242">
        <f>SUM(I34:J34)</f>
        <v>0</v>
      </c>
      <c r="I34" s="1241"/>
      <c r="J34" s="1231"/>
      <c r="K34" s="1240"/>
    </row>
    <row customHeight="1" ht="11.25">
      <c r="F35" s="1236">
        <v>4</v>
      </c>
      <c r="G35" s="685" t="s">
        <v>945</v>
      </c>
      <c r="H35" s="1242">
        <f>SUM(I35:J35)</f>
        <v>0</v>
      </c>
      <c r="I35" s="1241"/>
      <c r="J35" s="1231"/>
      <c r="K35" s="1240"/>
    </row>
    <row customHeight="1" ht="11.25">
      <c r="F36" s="1236"/>
      <c r="G36" s="688" t="s">
        <v>946</v>
      </c>
      <c r="H36" s="1242">
        <f>SUM(I36:J36)</f>
        <v>0</v>
      </c>
      <c r="I36" s="1242">
        <f>SUM(I15,I28,I32,I35)</f>
        <v>0</v>
      </c>
      <c r="J36" s="1231"/>
      <c r="K36" s="1240"/>
    </row>
    <row customHeight="1" ht="27.75">
      <c r="F37" s="1237" t="s">
        <v>947</v>
      </c>
      <c r="G37" s="2248" t="s">
        <v>948</v>
      </c>
      <c r="H37" s="2248"/>
      <c r="I37" s="2248"/>
      <c r="J37" s="2248"/>
      <c r="K37" s="1240"/>
    </row>
    <row customHeight="1" ht="22.5">
      <c r="F38" s="1236" t="s">
        <v>106</v>
      </c>
      <c r="G38" s="685" t="s">
        <v>949</v>
      </c>
      <c r="H38" s="1242">
        <f>SUM(I38:J38)</f>
        <v>0</v>
      </c>
      <c r="I38" s="1242">
        <f>SUM(I39,I44,I47)</f>
        <v>0</v>
      </c>
      <c r="J38" s="1231"/>
      <c r="K38" s="1240"/>
    </row>
    <row customHeight="1" ht="11.25">
      <c r="F39" s="1236" t="s">
        <v>914</v>
      </c>
      <c r="G39" s="1243" t="s">
        <v>913</v>
      </c>
      <c r="H39" s="1242">
        <f>SUM(I39:J39)</f>
        <v>0</v>
      </c>
      <c r="I39" s="1242">
        <f>SUM(I40:I43)</f>
        <v>0</v>
      </c>
      <c r="J39" s="1231"/>
      <c r="K39" s="1240"/>
    </row>
    <row customHeight="1" ht="22.5">
      <c r="F40" s="1236" t="s">
        <v>950</v>
      </c>
      <c r="G40" s="1244" t="s">
        <v>951</v>
      </c>
      <c r="H40" s="1242">
        <f>SUM(I40:J40)</f>
        <v>0</v>
      </c>
      <c r="I40" s="1241"/>
      <c r="J40" s="1231"/>
      <c r="K40" s="1240"/>
    </row>
    <row customHeight="1" ht="11.25">
      <c r="F41" s="1236" t="s">
        <v>952</v>
      </c>
      <c r="G41" s="1244" t="s">
        <v>953</v>
      </c>
      <c r="H41" s="1242">
        <f>SUM(I41:J41)</f>
        <v>0</v>
      </c>
      <c r="I41" s="1241"/>
      <c r="J41" s="1231"/>
      <c r="K41" s="1240"/>
    </row>
    <row customHeight="1" ht="11.25">
      <c r="F42" s="1236" t="s">
        <v>954</v>
      </c>
      <c r="G42" s="1244" t="s">
        <v>955</v>
      </c>
      <c r="H42" s="1242">
        <f>SUM(I42:J42)</f>
        <v>0</v>
      </c>
      <c r="I42" s="1241"/>
      <c r="J42" s="1231"/>
      <c r="K42" s="1240"/>
    </row>
    <row customHeight="1" ht="33.75">
      <c r="F43" s="1236" t="s">
        <v>956</v>
      </c>
      <c r="G43" s="1244" t="s">
        <v>957</v>
      </c>
      <c r="H43" s="1242">
        <f>SUM(I43:J43)</f>
        <v>0</v>
      </c>
      <c r="I43" s="1241"/>
      <c r="J43" s="1231"/>
      <c r="K43" s="1240"/>
    </row>
    <row customHeight="1" ht="11.25">
      <c r="F44" s="1236" t="s">
        <v>916</v>
      </c>
      <c r="G44" s="1243" t="s">
        <v>942</v>
      </c>
      <c r="H44" s="1242">
        <f>SUM(I44:J44)</f>
        <v>0</v>
      </c>
      <c r="I44" s="1242">
        <f>SUM(I45:I46)</f>
        <v>0</v>
      </c>
      <c r="J44" s="1231"/>
      <c r="K44" s="1240"/>
    </row>
    <row customHeight="1" ht="45">
      <c r="F45" s="1236" t="s">
        <v>958</v>
      </c>
      <c r="G45" s="1244" t="s">
        <v>943</v>
      </c>
      <c r="H45" s="1242">
        <f>SUM(I45:J45)</f>
        <v>0</v>
      </c>
      <c r="I45" s="1241"/>
      <c r="J45" s="1231"/>
      <c r="K45" s="1240"/>
    </row>
    <row customHeight="1" ht="11.25">
      <c r="F46" s="1236" t="s">
        <v>959</v>
      </c>
      <c r="G46" s="1244" t="s">
        <v>944</v>
      </c>
      <c r="H46" s="1242">
        <f>SUM(I46:J46)</f>
        <v>0</v>
      </c>
      <c r="I46" s="1241"/>
      <c r="J46" s="1231"/>
      <c r="K46" s="1240"/>
    </row>
    <row customHeight="1" ht="11.25">
      <c r="F47" s="1236" t="s">
        <v>918</v>
      </c>
      <c r="G47" s="1243" t="s">
        <v>960</v>
      </c>
      <c r="H47" s="1242">
        <f>SUM(I47:J47)</f>
        <v>0</v>
      </c>
      <c r="I47" s="1241"/>
      <c r="J47" s="1231"/>
      <c r="K47" s="1240"/>
    </row>
    <row customHeight="1" ht="22.5">
      <c r="F48" s="1236" t="s">
        <v>107</v>
      </c>
      <c r="G48" s="685" t="s">
        <v>961</v>
      </c>
      <c r="H48" s="1242">
        <f>SUM(I48:J48)</f>
        <v>0</v>
      </c>
      <c r="I48" s="1242">
        <f>SUM(I49,I54,I57)</f>
        <v>0</v>
      </c>
      <c r="J48" s="1231"/>
      <c r="K48" s="1240"/>
    </row>
    <row customHeight="1" ht="11.25">
      <c r="F49" s="1236" t="s">
        <v>600</v>
      </c>
      <c r="G49" s="1243" t="s">
        <v>913</v>
      </c>
      <c r="H49" s="1242">
        <f>SUM(I49:J49)</f>
        <v>0</v>
      </c>
      <c r="I49" s="1242">
        <f>SUM(I50:I53)</f>
        <v>0</v>
      </c>
      <c r="J49" s="1231"/>
      <c r="K49" s="1240"/>
    </row>
    <row customHeight="1" ht="22.5">
      <c r="F50" s="1236" t="s">
        <v>603</v>
      </c>
      <c r="G50" s="1244" t="s">
        <v>951</v>
      </c>
      <c r="H50" s="1242">
        <f>SUM(I50:J50)</f>
        <v>0</v>
      </c>
      <c r="I50" s="1241"/>
      <c r="J50" s="1231"/>
      <c r="K50" s="1240"/>
    </row>
    <row customHeight="1" ht="11.25">
      <c r="F51" s="1236" t="s">
        <v>606</v>
      </c>
      <c r="G51" s="1244" t="s">
        <v>953</v>
      </c>
      <c r="H51" s="1242">
        <f>SUM(I51:J51)</f>
        <v>0</v>
      </c>
      <c r="I51" s="1241"/>
      <c r="J51" s="1231"/>
      <c r="K51" s="1240"/>
    </row>
    <row customHeight="1" ht="11.25">
      <c r="F52" s="1236" t="s">
        <v>962</v>
      </c>
      <c r="G52" s="1244" t="s">
        <v>955</v>
      </c>
      <c r="H52" s="1242">
        <f>SUM(I52:J52)</f>
        <v>0</v>
      </c>
      <c r="I52" s="1241"/>
      <c r="J52" s="1231"/>
      <c r="K52" s="1240"/>
    </row>
    <row customHeight="1" ht="33.75">
      <c r="F53" s="1236" t="s">
        <v>963</v>
      </c>
      <c r="G53" s="1244" t="s">
        <v>957</v>
      </c>
      <c r="H53" s="1242">
        <f>SUM(I53:J53)</f>
        <v>0</v>
      </c>
      <c r="I53" s="1241"/>
      <c r="J53" s="1231"/>
      <c r="K53" s="1240"/>
    </row>
    <row customHeight="1" ht="11.25">
      <c r="F54" s="1236" t="s">
        <v>291</v>
      </c>
      <c r="G54" s="1243" t="s">
        <v>942</v>
      </c>
      <c r="H54" s="1242">
        <f>SUM(I54:J54)</f>
        <v>0</v>
      </c>
      <c r="I54" s="1242">
        <f>SUM(I55:I56)</f>
        <v>0</v>
      </c>
      <c r="J54" s="1231"/>
      <c r="K54" s="1240"/>
    </row>
    <row customHeight="1" ht="45">
      <c r="F55" s="1236" t="s">
        <v>610</v>
      </c>
      <c r="G55" s="1244" t="s">
        <v>943</v>
      </c>
      <c r="H55" s="1242">
        <f>SUM(I55:J55)</f>
        <v>0</v>
      </c>
      <c r="I55" s="1241"/>
      <c r="J55" s="1231"/>
      <c r="K55" s="1240"/>
    </row>
    <row customHeight="1" ht="11.25">
      <c r="F56" s="1236" t="s">
        <v>612</v>
      </c>
      <c r="G56" s="1244" t="s">
        <v>944</v>
      </c>
      <c r="H56" s="1242">
        <f>SUM(I56:J56)</f>
        <v>0</v>
      </c>
      <c r="I56" s="1241"/>
      <c r="J56" s="1231"/>
      <c r="K56" s="1240"/>
    </row>
    <row customHeight="1" ht="11.25">
      <c r="F57" s="1236" t="s">
        <v>294</v>
      </c>
      <c r="G57" s="1243" t="s">
        <v>960</v>
      </c>
      <c r="H57" s="1242">
        <f>SUM(I57:J57)</f>
        <v>0</v>
      </c>
      <c r="I57" s="1241"/>
      <c r="J57" s="1231"/>
      <c r="K57" s="1240"/>
    </row>
    <row customHeight="1" ht="11.25">
      <c r="F58" s="1236"/>
      <c r="G58" s="1245" t="s">
        <v>946</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5FBC8-FB05-F3A8-18FD-35CCE73BDFB6}"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hidden="1" customWidth="1"/>
    <col min="29" max="71" style="1059" width="0.8515625" hidden="1" customWidth="1"/>
    <col min="72" max="79" style="1059" width="21.7109375" customWidth="1"/>
    <col min="80" max="81" style="1059" width="29.140625" customWidth="1"/>
    <col min="82" max="89" style="1059" width="21.7109375" customWidth="1"/>
    <col min="90" max="102" style="1059" width="0.7109375"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ИМУП «ПОСЖИЛКОМСЕРВИС»</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964</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965</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284</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84</v>
      </c>
      <c r="G11" s="2038" t="s">
        <v>966</v>
      </c>
      <c r="H11" s="2278" t="s">
        <v>967</v>
      </c>
      <c r="I11" s="2278" t="s">
        <v>968</v>
      </c>
      <c r="J11" s="2277"/>
      <c r="K11" s="2277"/>
      <c r="L11" s="2277"/>
      <c r="M11" s="2277"/>
      <c r="N11" s="2277"/>
      <c r="O11" s="2043" t="s">
        <v>969</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969</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969</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970</v>
      </c>
      <c r="P12" s="2043"/>
      <c r="Q12" s="2043"/>
      <c r="R12" s="2043"/>
      <c r="S12" s="2043" t="s">
        <v>971</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972</v>
      </c>
      <c r="BU12" s="2261"/>
      <c r="BV12" s="2261"/>
      <c r="BW12" s="2258"/>
      <c r="BX12" s="2257" t="s">
        <v>973</v>
      </c>
      <c r="BY12" s="2261"/>
      <c r="BZ12" s="2261"/>
      <c r="CA12" s="2258"/>
      <c r="CB12" s="2257" t="s">
        <v>974</v>
      </c>
      <c r="CC12" s="2258"/>
      <c r="CD12" s="2257" t="s">
        <v>975</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976</v>
      </c>
      <c r="CZ12" s="2261"/>
      <c r="DA12" s="2261"/>
      <c r="DB12" s="2261"/>
      <c r="DC12" s="2261"/>
      <c r="DD12" s="2258"/>
      <c r="DE12" s="2257" t="s">
        <v>977</v>
      </c>
      <c r="DF12" s="2258"/>
      <c r="DG12" s="2257" t="s">
        <v>975</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978</v>
      </c>
      <c r="P13" s="2043"/>
      <c r="Q13" s="2043"/>
      <c r="R13" s="2043"/>
      <c r="S13" s="2170" t="s">
        <v>979</v>
      </c>
      <c r="T13" s="2255"/>
      <c r="U13" s="1952" t="s">
        <v>980</v>
      </c>
      <c r="V13" s="1952"/>
      <c r="W13" s="1952"/>
      <c r="X13" s="1952"/>
      <c r="Y13" s="1952" t="s">
        <v>981</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982</v>
      </c>
      <c r="BU13" s="2255"/>
      <c r="BV13" s="2170" t="s">
        <v>983</v>
      </c>
      <c r="BW13" s="2255"/>
      <c r="BX13" s="2170" t="s">
        <v>984</v>
      </c>
      <c r="BY13" s="2255"/>
      <c r="BZ13" s="2170" t="s">
        <v>985</v>
      </c>
      <c r="CA13" s="2255"/>
      <c r="CB13" s="2170" t="s">
        <v>986</v>
      </c>
      <c r="CC13" s="2255"/>
      <c r="CD13" s="2170" t="s">
        <v>987</v>
      </c>
      <c r="CE13" s="2255"/>
      <c r="CF13" s="2170" t="s">
        <v>988</v>
      </c>
      <c r="CG13" s="2255"/>
      <c r="CH13" s="2257" t="s">
        <v>989</v>
      </c>
      <c r="CI13" s="2261"/>
      <c r="CJ13" s="2261"/>
      <c r="CK13" s="2258"/>
      <c r="CL13" s="2267"/>
      <c r="CM13" s="2259"/>
      <c r="CN13" s="2259"/>
      <c r="CO13" s="2259"/>
      <c r="CP13" s="2259"/>
      <c r="CQ13" s="2259"/>
      <c r="CR13" s="2259"/>
      <c r="CS13" s="2259"/>
      <c r="CT13" s="2259"/>
      <c r="CU13" s="2259"/>
      <c r="CV13" s="2259"/>
      <c r="CW13" s="2259"/>
      <c r="CX13" s="2260"/>
      <c r="CY13" s="2170" t="s">
        <v>990</v>
      </c>
      <c r="CZ13" s="2255"/>
      <c r="DA13" s="2170" t="s">
        <v>991</v>
      </c>
      <c r="DB13" s="2255"/>
      <c r="DC13" s="2170" t="s">
        <v>992</v>
      </c>
      <c r="DD13" s="2255"/>
      <c r="DE13" s="2170" t="s">
        <v>993</v>
      </c>
      <c r="DF13" s="2255"/>
      <c r="DG13" s="2257" t="s">
        <v>994</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995</v>
      </c>
      <c r="P14" s="2255"/>
      <c r="Q14" s="2170" t="s">
        <v>996</v>
      </c>
      <c r="R14" s="2255"/>
      <c r="S14" s="2171"/>
      <c r="T14" s="2044"/>
      <c r="U14" s="2170" t="s">
        <v>728</v>
      </c>
      <c r="V14" s="2255"/>
      <c r="W14" s="2170" t="s">
        <v>731</v>
      </c>
      <c r="X14" s="2255"/>
      <c r="Y14" s="2170" t="s">
        <v>728</v>
      </c>
      <c r="Z14" s="2255"/>
      <c r="AA14" s="2170" t="s">
        <v>738</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997</v>
      </c>
      <c r="CI14" s="2255"/>
      <c r="CJ14" s="2170" t="s">
        <v>998</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999</v>
      </c>
      <c r="DH14" s="2255"/>
      <c r="DI14" s="2170" t="s">
        <v>1000</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718</v>
      </c>
      <c r="P16" s="2258"/>
      <c r="Q16" s="2257" t="s">
        <v>720</v>
      </c>
      <c r="R16" s="2258"/>
      <c r="S16" s="2257" t="s">
        <v>724</v>
      </c>
      <c r="T16" s="2258"/>
      <c r="U16" s="2257" t="s">
        <v>729</v>
      </c>
      <c r="V16" s="2258"/>
      <c r="W16" s="2257" t="s">
        <v>732</v>
      </c>
      <c r="X16" s="2258"/>
      <c r="Y16" s="2257" t="s">
        <v>736</v>
      </c>
      <c r="Z16" s="2258"/>
      <c r="AA16" s="2257" t="s">
        <v>739</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536</v>
      </c>
      <c r="BU16" s="2258"/>
      <c r="BV16" s="2257" t="s">
        <v>536</v>
      </c>
      <c r="BW16" s="2258"/>
      <c r="BX16" s="2257" t="s">
        <v>536</v>
      </c>
      <c r="BY16" s="2258"/>
      <c r="BZ16" s="2257" t="s">
        <v>536</v>
      </c>
      <c r="CA16" s="2258"/>
      <c r="CB16" s="2257" t="s">
        <v>1001</v>
      </c>
      <c r="CC16" s="2258"/>
      <c r="CD16" s="2257" t="s">
        <v>536</v>
      </c>
      <c r="CE16" s="2258"/>
      <c r="CF16" s="2257" t="s">
        <v>1002</v>
      </c>
      <c r="CG16" s="2258"/>
      <c r="CH16" s="2257" t="s">
        <v>1003</v>
      </c>
      <c r="CI16" s="2258"/>
      <c r="CJ16" s="2257" t="s">
        <v>1003</v>
      </c>
      <c r="CK16" s="2258"/>
      <c r="CL16" s="2267"/>
      <c r="CM16" s="2259"/>
      <c r="CN16" s="2259"/>
      <c r="CO16" s="2259"/>
      <c r="CP16" s="2259"/>
      <c r="CQ16" s="2259"/>
      <c r="CR16" s="2259"/>
      <c r="CS16" s="2259"/>
      <c r="CT16" s="2259"/>
      <c r="CU16" s="2259"/>
      <c r="CV16" s="2259"/>
      <c r="CW16" s="2259"/>
      <c r="CX16" s="2260"/>
      <c r="CY16" s="2170" t="s">
        <v>536</v>
      </c>
      <c r="CZ16" s="2255"/>
      <c r="DA16" s="2170" t="s">
        <v>536</v>
      </c>
      <c r="DB16" s="2255"/>
      <c r="DC16" s="2170" t="s">
        <v>536</v>
      </c>
      <c r="DD16" s="2255"/>
      <c r="DE16" s="2257" t="s">
        <v>1001</v>
      </c>
      <c r="DF16" s="2258"/>
      <c r="DG16" s="2257" t="s">
        <v>1004</v>
      </c>
      <c r="DH16" s="2258"/>
      <c r="DI16" s="2257" t="s">
        <v>1004</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1005</v>
      </c>
      <c r="P17" s="1189" t="s">
        <v>1006</v>
      </c>
      <c r="Q17" s="1189" t="s">
        <v>1005</v>
      </c>
      <c r="R17" s="1189" t="s">
        <v>1006</v>
      </c>
      <c r="S17" s="1189" t="s">
        <v>1005</v>
      </c>
      <c r="T17" s="1189" t="s">
        <v>1006</v>
      </c>
      <c r="U17" s="1189" t="s">
        <v>1005</v>
      </c>
      <c r="V17" s="1189" t="s">
        <v>1006</v>
      </c>
      <c r="W17" s="1189" t="s">
        <v>1005</v>
      </c>
      <c r="X17" s="1189" t="s">
        <v>1006</v>
      </c>
      <c r="Y17" s="1189" t="s">
        <v>1005</v>
      </c>
      <c r="Z17" s="1189" t="s">
        <v>1006</v>
      </c>
      <c r="AA17" s="1189" t="s">
        <v>1005</v>
      </c>
      <c r="AB17" s="1189" t="s">
        <v>1006</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1005</v>
      </c>
      <c r="BU17" s="1189" t="s">
        <v>1006</v>
      </c>
      <c r="BV17" s="1189" t="s">
        <v>1005</v>
      </c>
      <c r="BW17" s="1189" t="s">
        <v>1006</v>
      </c>
      <c r="BX17" s="1189" t="s">
        <v>1005</v>
      </c>
      <c r="BY17" s="1189" t="s">
        <v>1006</v>
      </c>
      <c r="BZ17" s="1189" t="s">
        <v>1005</v>
      </c>
      <c r="CA17" s="1189" t="s">
        <v>1006</v>
      </c>
      <c r="CB17" s="1189" t="s">
        <v>1005</v>
      </c>
      <c r="CC17" s="1189" t="s">
        <v>1006</v>
      </c>
      <c r="CD17" s="1189" t="s">
        <v>1005</v>
      </c>
      <c r="CE17" s="1189" t="s">
        <v>1006</v>
      </c>
      <c r="CF17" s="1189" t="s">
        <v>1005</v>
      </c>
      <c r="CG17" s="1189" t="s">
        <v>1006</v>
      </c>
      <c r="CH17" s="1189" t="s">
        <v>1005</v>
      </c>
      <c r="CI17" s="1189" t="s">
        <v>1006</v>
      </c>
      <c r="CJ17" s="1189" t="s">
        <v>1005</v>
      </c>
      <c r="CK17" s="1189" t="s">
        <v>1006</v>
      </c>
      <c r="CL17" s="2267"/>
      <c r="CM17" s="2259"/>
      <c r="CN17" s="2259"/>
      <c r="CO17" s="2259"/>
      <c r="CP17" s="2259"/>
      <c r="CQ17" s="2259"/>
      <c r="CR17" s="2259"/>
      <c r="CS17" s="2259"/>
      <c r="CT17" s="2259"/>
      <c r="CU17" s="2259"/>
      <c r="CV17" s="2259"/>
      <c r="CW17" s="2259"/>
      <c r="CX17" s="2260"/>
      <c r="CY17" s="1189" t="s">
        <v>1005</v>
      </c>
      <c r="CZ17" s="1189" t="s">
        <v>1006</v>
      </c>
      <c r="DA17" s="1189" t="s">
        <v>1005</v>
      </c>
      <c r="DB17" s="1189" t="s">
        <v>1006</v>
      </c>
      <c r="DC17" s="1189" t="s">
        <v>1005</v>
      </c>
      <c r="DD17" s="1189" t="s">
        <v>1006</v>
      </c>
      <c r="DE17" s="1189" t="s">
        <v>1005</v>
      </c>
      <c r="DF17" s="1189" t="s">
        <v>1006</v>
      </c>
      <c r="DG17" s="1189" t="s">
        <v>1005</v>
      </c>
      <c r="DH17" s="1189" t="s">
        <v>1006</v>
      </c>
      <c r="DI17" s="1189" t="s">
        <v>1005</v>
      </c>
      <c r="DJ17" s="1189" t="s">
        <v>1006</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362</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69651-A013-FBB2-B55C-1DDCE8F7F0F8}"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45"/>
      <c r="F4" s="1945"/>
      <c r="G4" s="1945"/>
      <c r="H4" s="1945"/>
      <c r="I4" s="1946"/>
      <c r="J4" s="580"/>
      <c r="K4" s="580"/>
      <c r="L4" s="580"/>
      <c r="M4" s="580"/>
    </row>
    <row s="585" customFormat="1" customHeight="1" ht="15">
      <c r="A5" s="581"/>
      <c r="B5" s="581"/>
      <c r="C5" s="581"/>
      <c r="D5" s="1947" t="str">
        <f>IF(org=0,"Не определено",org)</f>
        <v>ИМУП «ПОСЖИЛКОМСЕРВИС»</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102</v>
      </c>
      <c r="E9" s="1952"/>
      <c r="F9" s="1953" t="s">
        <v>103</v>
      </c>
      <c r="G9" s="1954"/>
      <c r="H9" s="1954"/>
      <c r="I9" s="1954"/>
      <c r="J9" s="1957" t="s">
        <v>104</v>
      </c>
      <c r="K9" s="1957"/>
      <c r="L9" s="1957"/>
      <c r="M9" s="1957"/>
    </row>
    <row customHeight="1" ht="22.5">
      <c r="A10" s="1951"/>
      <c r="B10" s="588"/>
      <c r="C10" s="521"/>
      <c r="D10" s="519" t="s">
        <v>84</v>
      </c>
      <c r="E10" s="519" t="s">
        <v>85</v>
      </c>
      <c r="F10" s="519" t="s">
        <v>105</v>
      </c>
      <c r="G10" s="1958" t="s">
        <v>84</v>
      </c>
      <c r="H10" s="1959"/>
      <c r="I10" s="519" t="s">
        <v>85</v>
      </c>
      <c r="J10" s="519" t="s">
        <v>105</v>
      </c>
      <c r="K10" s="1958" t="s">
        <v>84</v>
      </c>
      <c r="L10" s="1959"/>
      <c r="M10" s="519" t="s">
        <v>85</v>
      </c>
      <c r="N10" s="1653"/>
    </row>
    <row s="1878" customFormat="1" customHeight="1" ht="11.25" hidden="1">
      <c r="A11" s="589"/>
      <c r="B11" s="589"/>
      <c r="C11" s="589"/>
      <c r="D11" s="590" t="s">
        <v>106</v>
      </c>
      <c r="E11" s="590" t="s">
        <v>107</v>
      </c>
      <c r="F11" s="590" t="s">
        <v>86</v>
      </c>
      <c r="G11" s="1940" t="s">
        <v>87</v>
      </c>
      <c r="H11" s="1941"/>
      <c r="I11" s="590" t="s">
        <v>108</v>
      </c>
      <c r="J11" s="590" t="s">
        <v>88</v>
      </c>
      <c r="K11" s="1942" t="s">
        <v>89</v>
      </c>
      <c r="L11" s="1943"/>
      <c r="M11" s="590" t="s">
        <v>109</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110</v>
      </c>
      <c r="P12" s="1431" t="s">
        <v>111</v>
      </c>
      <c r="Q12" s="1431" t="s">
        <v>112</v>
      </c>
      <c r="R12" s="1431" t="s">
        <v>113</v>
      </c>
    </row>
    <row s="1878" customFormat="1" customHeight="1" ht="15">
      <c r="A13" s="0"/>
      <c r="B13" s="0"/>
      <c r="C13" s="522"/>
      <c r="D13" s="1963" t="s">
        <v>106</v>
      </c>
      <c r="E13" s="1964" t="str">
        <f>INDEX(VD_NAME_LIST,MATCH("4189702",VD_ID_LIST,0))</f>
        <v>Горячее водоснабжение</v>
      </c>
      <c r="F13" s="1967" t="s">
        <v>55</v>
      </c>
      <c r="G13" s="1968"/>
      <c r="H13" s="1969">
        <v>1</v>
      </c>
      <c r="I13" s="1960" t="str">
        <f>IF(U13="","",INDEX(TERRITORY_MR_LIST,MATCH(U13,TERRITORY_LIST_ID,0)))</f>
        <v>Территория 1</v>
      </c>
      <c r="J13" s="1962" t="s">
        <v>53</v>
      </c>
      <c r="K13" s="598"/>
      <c r="L13" s="523" t="s">
        <v>106</v>
      </c>
      <c r="M13" s="599" t="s">
        <v>18</v>
      </c>
      <c r="N13" s="807"/>
      <c r="O13" s="1434" t="s">
        <v>114</v>
      </c>
      <c r="P13" s="1431" t="str">
        <f>$E$13</f>
        <v>Горячее водоснабжение</v>
      </c>
      <c r="Q13" s="1431" t="str">
        <f>IF($F$13="нет","без дифференциации",$I$13)</f>
        <v>Территория 1</v>
      </c>
      <c r="R13" s="1431" t="str">
        <f>IF($J$13="нет","без дифференциации",M13)</f>
        <v>без дифференциации</v>
      </c>
      <c r="S13" s="1434"/>
      <c r="T13" s="1434"/>
      <c r="U13" s="1283" t="s">
        <v>94</v>
      </c>
      <c r="V13" s="1283" t="s">
        <v>115</v>
      </c>
      <c r="W13" s="1283"/>
      <c r="X13" s="1283"/>
      <c r="Y13" s="600" t="s">
        <v>116</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1961"/>
      <c r="J14" s="1962"/>
      <c r="K14" s="418"/>
      <c r="L14" s="157"/>
      <c r="M14" s="603" t="s">
        <v>117</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s="1878" customFormat="1" customHeight="1" ht="15">
      <c r="A15" s="0"/>
      <c r="B15" s="0"/>
      <c r="C15" s="156"/>
      <c r="D15" s="1963"/>
      <c r="E15" s="1966"/>
      <c r="F15" s="1962"/>
      <c r="G15" s="1056"/>
      <c r="H15" s="1057"/>
      <c r="I15" s="576" t="s">
        <v>118</v>
      </c>
      <c r="J15" s="157"/>
      <c r="K15" s="157"/>
      <c r="L15" s="157"/>
      <c r="M15" s="604"/>
      <c r="N15" s="807"/>
      <c r="O15" s="1434"/>
      <c r="P15" s="1431"/>
      <c r="Q15" s="1431"/>
      <c r="R15" s="1431"/>
      <c r="S15" s="1434"/>
      <c r="T15" s="1434"/>
      <c r="U15" s="1283"/>
      <c r="V15" s="1283"/>
      <c r="W15" s="1283"/>
      <c r="X15" s="1283"/>
      <c r="Y15" s="600"/>
      <c r="Z15" s="600"/>
      <c r="AA15" s="600"/>
      <c r="AB15" s="600"/>
      <c r="AC15" s="600"/>
      <c r="AD15" s="600"/>
      <c r="AE15" s="600"/>
      <c r="AF15" s="600"/>
      <c r="AG15" s="600"/>
      <c r="AH15" s="600"/>
      <c r="AI15" s="600"/>
      <c r="AJ15" s="600"/>
      <c r="AK15" s="600"/>
      <c r="AL15" s="600"/>
    </row>
    <row customHeight="1" ht="15">
      <c r="A16" s="605"/>
      <c r="B16" s="115"/>
      <c r="C16" s="801"/>
      <c r="D16" s="418"/>
      <c r="E16" s="567" t="s">
        <v>119</v>
      </c>
      <c r="F16" s="157"/>
      <c r="G16" s="157"/>
      <c r="H16" s="157"/>
      <c r="I16" s="157"/>
      <c r="J16" s="157"/>
      <c r="K16" s="157" t="s">
        <v>18</v>
      </c>
      <c r="L16" s="157"/>
      <c r="M16" s="604"/>
      <c r="N16" s="165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9398-A7F9-06F1-4BEE-CE71954C0131}" mc:Ignorable="x14ac xr xr2 xr3">
  <sheetPr>
    <tabColor theme="2" tint="-0.1"/>
    <pageSetUpPr fitToPage="1"/>
  </sheetPr>
  <dimension ref="A1:R22"/>
  <sheetViews>
    <sheetView topLeftCell="C4" showGridLines="0" zoomScale="90" workbookViewId="0" tabSelected="1">
      <selection activeCell="E22" sqref="E22"/>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9" style="1384" width="93.421875" customWidth="1"/>
    <col min="10" max="17" style="1661" width="10.57421875"/>
    <col min="18" max="18" style="670" width="10.57421875"/>
  </cols>
  <sheetData>
    <row s="1384" customFormat="1" customHeight="1" ht="15" hidden="1">
      <c r="C1" s="667"/>
      <c r="H1" s="414">
        <v>4</v>
      </c>
      <c r="R1" s="417"/>
    </row>
    <row customHeight="1" ht="22.5" hidden="1">
      <c r="D2" s="535"/>
      <c r="E2" s="658"/>
      <c r="F2" s="1786" t="str">
        <f>IF(TEMPLATE_SPHERE="HEAT","Гкал/час","тыс. куб. м/сутки")</f>
        <v>тыс. куб. м/сутки</v>
      </c>
      <c r="G2" s="675"/>
      <c r="H2" s="675"/>
      <c r="I2" s="270"/>
    </row>
    <row s="1384" customFormat="1" customHeight="1" ht="15" hidden="1">
      <c r="C3" s="667"/>
      <c r="R3" s="417"/>
    </row>
    <row customHeight="1" ht="15">
      <c r="C4" s="156"/>
      <c r="D4" s="505"/>
      <c r="E4" s="505"/>
      <c r="F4" s="505"/>
      <c r="G4" s="505"/>
      <c r="H4" s="505"/>
    </row>
    <row customHeight="1" ht="37.5">
      <c r="C5" s="156"/>
      <c r="D5" s="20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066"/>
      <c r="F5" s="2066"/>
      <c r="G5" s="2066"/>
      <c r="H5" s="2066"/>
      <c r="I5" s="533"/>
    </row>
    <row customHeight="1" ht="15">
      <c r="C6" s="156"/>
      <c r="D6" s="2034" t="str">
        <f>IF(org=0,"Не определено",org)</f>
        <v>ИМУП «ПОСЖИЛКОМСЕРВИС»</v>
      </c>
      <c r="E6" s="2034"/>
      <c r="F6" s="2034"/>
      <c r="G6" s="2034"/>
      <c r="H6" s="2034"/>
      <c r="I6" s="533"/>
    </row>
    <row s="1661" customFormat="1" customHeight="1" ht="15">
      <c r="A7" s="755"/>
      <c r="C7" s="156"/>
      <c r="D7" s="671"/>
      <c r="E7" s="671"/>
      <c r="F7" s="671"/>
      <c r="G7" s="671"/>
      <c r="H7" s="748"/>
      <c r="I7" s="533"/>
      <c r="R7" s="670"/>
    </row>
    <row customHeight="1" ht="0.75">
      <c r="C8" s="156"/>
      <c r="D8" s="505"/>
      <c r="E8" s="505"/>
      <c r="F8" s="505"/>
      <c r="G8" s="505"/>
      <c r="H8" s="533" t="s">
        <v>114</v>
      </c>
    </row>
    <row customHeight="1" ht="15">
      <c r="C9" s="156"/>
      <c r="D9" s="706"/>
      <c r="E9" s="2200" t="s">
        <v>102</v>
      </c>
      <c r="F9" s="2201"/>
      <c r="G9" s="811" t="str">
        <f>IF(G8="","",INDEX(DIFFERENTIATION_UNMERGE_VD,MATCH(G8,DIFFERENTIATION_ID_DIFF,0)))</f>
        <v/>
      </c>
      <c r="H9" s="811" t="str">
        <f>IF(H8="","",INDEX(DIFFERENTIATION_UNMERGE_VD,MATCH(H8,DIFFERENTIATION_ID_DIFF,0)))</f>
        <v>Горячее водоснабжение</v>
      </c>
      <c r="I9" s="1952" t="s">
        <v>285</v>
      </c>
    </row>
    <row s="1661" customFormat="1" customHeight="1" ht="15">
      <c r="A10" s="755"/>
      <c r="C10" s="156"/>
      <c r="D10" s="706"/>
      <c r="E10" s="2200" t="s">
        <v>542</v>
      </c>
      <c r="F10" s="2201"/>
      <c r="G10" s="811" t="str">
        <f>IF(G8="","",INDEX(DIFFERENTIATION_UNMERGE_AREA,MATCH(G8,DIFFERENTIATION_ID_DIFF,0)))</f>
        <v/>
      </c>
      <c r="H10" s="811" t="str">
        <f>IF(H8="","",INDEX(DIFFERENTIATION_UNMERGE_AREA,MATCH(H8,DIFFERENTIATION_ID_DIFF,0)))</f>
        <v>Территория 1</v>
      </c>
      <c r="I10" s="1952"/>
      <c r="R10" s="670"/>
    </row>
    <row s="1661" customFormat="1" customHeight="1" ht="15">
      <c r="A11" s="755"/>
      <c r="C11" s="156"/>
      <c r="D11" s="706"/>
      <c r="E11" s="2200" t="s">
        <v>543</v>
      </c>
      <c r="F11" s="2201"/>
      <c r="G11" s="811" t="str">
        <f>IF(G8="","",INDEX(DIFFERENTIATION_UNMERGE_SYSTEM,MATCH(G8,DIFFERENTIATION_ID_DIFF,0)))</f>
        <v/>
      </c>
      <c r="H11" s="811" t="str">
        <f>IF(H8="","",INDEX(DIFFERENTIATION_UNMERGE_SYSTEM,MATCH(H8,DIFFERENTIATION_ID_DIFF,0)))</f>
        <v>без дифференциации</v>
      </c>
      <c r="I11" s="1952"/>
      <c r="R11" s="670"/>
    </row>
    <row s="1661" customFormat="1" customHeight="1" ht="15">
      <c r="A12" s="755"/>
      <c r="C12" s="156"/>
      <c r="D12" s="2202" t="s">
        <v>284</v>
      </c>
      <c r="E12" s="2203"/>
      <c r="F12" s="2203"/>
      <c r="G12" s="882"/>
      <c r="H12" s="882"/>
      <c r="I12" s="1952"/>
      <c r="R12" s="670"/>
    </row>
    <row customHeight="1" ht="33.75">
      <c r="C13" s="156"/>
      <c r="D13" s="757" t="s">
        <v>84</v>
      </c>
      <c r="E13" s="756" t="s">
        <v>286</v>
      </c>
      <c r="F13" s="756" t="s">
        <v>544</v>
      </c>
      <c r="G13" s="803" t="s">
        <v>287</v>
      </c>
      <c r="H13" s="750" t="s">
        <v>287</v>
      </c>
      <c r="I13" s="1952"/>
    </row>
    <row customHeight="1" ht="15" hidden="1">
      <c r="C14" s="156"/>
      <c r="D14" s="589" t="s">
        <v>106</v>
      </c>
      <c r="E14" s="589" t="s">
        <v>107</v>
      </c>
      <c r="F14" s="589" t="s">
        <v>86</v>
      </c>
      <c r="G14" s="654" t="str">
        <f>G1&amp;".1"</f>
        <v>.1</v>
      </c>
      <c r="H14" s="654" t="str">
        <f>H1&amp;".1"</f>
        <v>4.1</v>
      </c>
      <c r="I14" s="270"/>
    </row>
    <row customHeight="1" ht="15">
      <c r="A15" s="501"/>
      <c r="C15" s="522"/>
      <c r="D15" s="517">
        <v>1</v>
      </c>
      <c r="E15" s="672" t="str">
        <f>TP_P_A</f>
        <v>Количество поданных заявлений </v>
      </c>
      <c r="F15" s="517" t="s">
        <v>1007</v>
      </c>
      <c r="G15" s="680"/>
      <c r="H15" s="680">
        <v>0</v>
      </c>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01"/>
      <c r="C16" s="522"/>
      <c r="D16" s="517">
        <v>2</v>
      </c>
      <c r="E16" s="260" t="str">
        <f>TP_P_B</f>
        <v>Количество исполненных заявлений </v>
      </c>
      <c r="F16" s="517" t="s">
        <v>1007</v>
      </c>
      <c r="G16" s="680"/>
      <c r="H16" s="680">
        <v>0</v>
      </c>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1007</v>
      </c>
      <c r="G17" s="680"/>
      <c r="H17" s="680">
        <v>0</v>
      </c>
      <c r="I17" s="18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централизованной системе горячего водоснабжения</v>
      </c>
      <c r="F18" s="517" t="s">
        <v>290</v>
      </c>
      <c r="G18" s="681"/>
      <c r="H18" s="681"/>
      <c r="I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17" t="str">
        <f>IF(TEMPLATE_SPHERE="HEAT","Гкал/час","тыс. куб. м/сутки")</f>
        <v>тыс. куб. м/сутки</v>
      </c>
      <c r="G19" s="682">
        <f>SUM(G20:G22)</f>
        <v>0</v>
      </c>
      <c r="H19" s="682">
        <f>SUM(H20:H22)</f>
        <v>0.1</v>
      </c>
      <c r="I19" s="18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05" t="s">
        <v>1008</v>
      </c>
      <c r="E20" s="683"/>
      <c r="F20" s="505"/>
      <c r="G20" s="505"/>
      <c r="H20" s="505"/>
      <c r="I20" s="1788"/>
    </row>
    <row customHeight="1" ht="27.75">
      <c r="C21" s="447"/>
      <c r="D21" s="535" t="s">
        <v>299</v>
      </c>
      <c r="E21" s="665" t="s">
        <v>1009</v>
      </c>
      <c r="F21" s="1786" t="str">
        <f>IF(TEMPLATE_SPHERE="HEAT","Гкал/час","тыс. куб. м/сутки")</f>
        <v>тыс. куб. м/сутки</v>
      </c>
      <c r="G21" s="675"/>
      <c r="H21" s="675">
        <v>0.1</v>
      </c>
      <c r="I21" s="199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01"/>
      <c r="C22" s="501"/>
      <c r="D22" s="335"/>
      <c r="E22" s="576" t="s">
        <v>1010</v>
      </c>
      <c r="F22" s="568"/>
      <c r="G22" s="568"/>
      <c r="H22" s="568"/>
      <c r="I22" s="1998"/>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C05B1-D481-A89A-A9E2-082AC772F2BC}"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93"/>
      <c r="F5" s="2193"/>
      <c r="G5" s="2194"/>
    </row>
    <row s="1661" customFormat="1" customHeight="1" ht="18">
      <c r="A6" s="877"/>
      <c r="B6" s="414"/>
      <c r="C6" s="368"/>
      <c r="D6" s="2195" t="str">
        <f>IF(org=0,"Не определено",org)</f>
        <v>ИМУП «ПОСЖИЛКОМСЕРВИС»</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284</v>
      </c>
      <c r="E9" s="2043"/>
      <c r="F9" s="2043"/>
      <c r="G9" s="2283" t="s">
        <v>285</v>
      </c>
    </row>
    <row customHeight="1" ht="14.25">
      <c r="C10" s="76"/>
      <c r="D10" s="85" t="s">
        <v>84</v>
      </c>
      <c r="E10" s="88" t="s">
        <v>286</v>
      </c>
      <c r="F10" s="88" t="s">
        <v>376</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77" t="s">
        <v>290</v>
      </c>
      <c r="G12" s="131"/>
    </row>
    <row customHeight="1" ht="22.5">
      <c r="A13" s="171"/>
      <c r="C13" s="76"/>
      <c r="D13" s="127" t="s">
        <v>914</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290</v>
      </c>
      <c r="G13" s="131"/>
    </row>
    <row customHeight="1" ht="14.25">
      <c r="A14" s="171"/>
      <c r="C14" s="76"/>
      <c r="D14" s="127" t="s">
        <v>950</v>
      </c>
      <c r="E14" s="174"/>
      <c r="F14" s="192"/>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1011</v>
      </c>
      <c r="F15" s="180"/>
      <c r="G15" s="1998"/>
    </row>
    <row customHeight="1" ht="14.25">
      <c r="A16" s="171"/>
      <c r="C16" s="76"/>
      <c r="D16" s="127" t="s">
        <v>916</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77" t="s">
        <v>290</v>
      </c>
      <c r="G16" s="325"/>
    </row>
    <row customHeight="1" ht="14.25">
      <c r="A17" s="171"/>
      <c r="C17" s="76"/>
      <c r="D17" s="127" t="s">
        <v>958</v>
      </c>
      <c r="E17" s="174"/>
      <c r="F17" s="382"/>
      <c r="G17"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661" customFormat="1" customHeight="1" ht="21">
      <c r="A18" s="331"/>
      <c r="B18" s="126"/>
      <c r="C18" s="288"/>
      <c r="D18" s="335"/>
      <c r="E18" s="337" t="s">
        <v>1012</v>
      </c>
      <c r="F18" s="326"/>
      <c r="G18" s="1998"/>
      <c r="I18" s="338"/>
      <c r="J18" s="338"/>
    </row>
    <row s="1661" customFormat="1" customHeight="1" ht="256.5" hidden="1">
      <c r="A19" s="331"/>
      <c r="B19" s="414"/>
      <c r="C19" s="368"/>
      <c r="D19" s="879" t="s">
        <v>918</v>
      </c>
      <c r="E19" s="878" t="s">
        <v>1013</v>
      </c>
      <c r="F19" s="382"/>
      <c r="G19" s="325" t="s">
        <v>1014</v>
      </c>
      <c r="I19" s="496"/>
      <c r="J19" s="496"/>
    </row>
    <row s="1661" customFormat="1" customHeight="1" ht="14.25">
      <c r="A20" s="331"/>
      <c r="B20" s="126"/>
      <c r="C20" s="288"/>
      <c r="D20" s="880">
        <v>2</v>
      </c>
      <c r="E20" s="318" t="s">
        <v>1015</v>
      </c>
      <c r="F20" s="177" t="s">
        <v>290</v>
      </c>
      <c r="G20" s="325"/>
      <c r="I20" s="338"/>
      <c r="J20" s="338"/>
    </row>
    <row s="1661" customFormat="1" customHeight="1" ht="18.75" hidden="1">
      <c r="A21" s="331"/>
      <c r="B21" s="126"/>
      <c r="C21" s="288"/>
      <c r="D21" s="321" t="s">
        <v>844</v>
      </c>
      <c r="E21" s="320"/>
      <c r="F21" s="319"/>
      <c r="G21" s="329"/>
      <c r="H21" s="322"/>
      <c r="I21" s="338"/>
      <c r="J21" s="338"/>
    </row>
    <row customHeight="1" ht="15">
      <c r="A22" s="171"/>
      <c r="C22" s="76"/>
      <c r="D22" s="89"/>
      <c r="E22" s="182" t="s">
        <v>1016</v>
      </c>
      <c r="F22" s="326"/>
      <c r="G22" s="327"/>
    </row>
    <row s="1661" customFormat="1" customHeight="1" ht="22.5" hidden="1">
      <c r="A23" s="331"/>
      <c r="B23" s="1156"/>
      <c r="C23" s="368"/>
      <c r="D23" s="1699" t="s">
        <v>107</v>
      </c>
      <c r="E23" s="176" t="s">
        <v>1017</v>
      </c>
      <c r="F23" s="1696" t="s">
        <v>290</v>
      </c>
      <c r="G23" s="333"/>
      <c r="I23" s="1650"/>
      <c r="J23" s="1650"/>
    </row>
    <row s="1661" customFormat="1" customHeight="1" ht="14.25" hidden="1">
      <c r="A24" s="331"/>
      <c r="B24" s="1156"/>
      <c r="C24" s="368"/>
      <c r="D24" s="1699" t="s">
        <v>600</v>
      </c>
      <c r="E24" s="1698" t="s">
        <v>1018</v>
      </c>
      <c r="F24" s="1696" t="s">
        <v>290</v>
      </c>
      <c r="G24" s="325"/>
      <c r="I24" s="1650"/>
      <c r="J24" s="1650"/>
    </row>
    <row s="1661" customFormat="1" customHeight="1" ht="14.25" hidden="1">
      <c r="A25" s="331"/>
      <c r="B25" s="1156"/>
      <c r="C25" s="368"/>
      <c r="D25" s="1699" t="s">
        <v>603</v>
      </c>
      <c r="E25" s="174"/>
      <c r="F25" s="382"/>
      <c r="G25" s="1996" t="s">
        <v>1019</v>
      </c>
      <c r="I25" s="1650"/>
      <c r="J25" s="1650"/>
    </row>
    <row s="1661" customFormat="1" customHeight="1" ht="22.5" hidden="1">
      <c r="A26" s="331"/>
      <c r="B26" s="1156"/>
      <c r="C26" s="368"/>
      <c r="D26" s="335"/>
      <c r="E26" s="337" t="s">
        <v>1020</v>
      </c>
      <c r="F26" s="326"/>
      <c r="G26" s="1998"/>
      <c r="I26" s="1650"/>
      <c r="J26" s="1650"/>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E14EE-A011-52F7-3583-D63D4A5FC38F}"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1021</v>
      </c>
      <c r="D2" s="1699"/>
      <c r="E2" s="178"/>
      <c r="F2" s="1696"/>
      <c r="G2" s="1696" t="s">
        <v>290</v>
      </c>
      <c r="H2" s="1157"/>
      <c r="K2" s="1650"/>
      <c r="L2" s="1650"/>
    </row>
    <row s="1661" customFormat="1" customHeight="1" ht="14.25" hidden="1">
      <c r="A3" s="1380"/>
      <c r="B3" s="1156"/>
      <c r="C3" s="332"/>
      <c r="K3" s="1650"/>
      <c r="L3" s="1650"/>
    </row>
    <row s="1661" customFormat="1" customHeight="1" ht="18.75" hidden="1">
      <c r="A4" s="1709"/>
      <c r="B4" s="1156"/>
      <c r="C4" s="1755" t="s">
        <v>1021</v>
      </c>
      <c r="D4" s="1699"/>
      <c r="E4" s="184" t="s">
        <v>1022</v>
      </c>
      <c r="F4" s="1696"/>
      <c r="G4" s="236"/>
      <c r="H4" s="1696" t="s">
        <v>290</v>
      </c>
      <c r="K4" s="1650"/>
      <c r="L4" s="1650"/>
    </row>
    <row s="1661" customFormat="1" customHeight="1" ht="14.25" hidden="1">
      <c r="A5" s="1380"/>
      <c r="B5" s="1156"/>
      <c r="C5" s="332"/>
      <c r="K5" s="1650"/>
      <c r="L5" s="1650"/>
    </row>
    <row s="1661" customFormat="1" customHeight="1" ht="18.75" hidden="1">
      <c r="A6" s="1709"/>
      <c r="B6" s="1156"/>
      <c r="C6" s="1755" t="s">
        <v>1021</v>
      </c>
      <c r="D6" s="1699"/>
      <c r="E6" s="185" t="s">
        <v>1023</v>
      </c>
      <c r="F6" s="1696"/>
      <c r="G6" s="236"/>
      <c r="H6" s="1696" t="s">
        <v>290</v>
      </c>
      <c r="K6" s="1650"/>
      <c r="L6" s="1650"/>
    </row>
    <row s="1661" customFormat="1" customHeight="1" ht="14.25" hidden="1">
      <c r="A7" s="1380"/>
      <c r="B7" s="1156"/>
      <c r="C7" s="332"/>
      <c r="K7" s="1650"/>
      <c r="L7" s="1650"/>
    </row>
    <row s="1661" customFormat="1" customHeight="1" ht="18.75" hidden="1">
      <c r="A8" s="1709"/>
      <c r="B8" s="1156"/>
      <c r="C8" s="1755" t="s">
        <v>1021</v>
      </c>
      <c r="D8" s="1699"/>
      <c r="E8" s="185" t="s">
        <v>1024</v>
      </c>
      <c r="F8" s="1696"/>
      <c r="G8" s="236"/>
      <c r="H8" s="1696" t="s">
        <v>290</v>
      </c>
      <c r="K8" s="1650"/>
      <c r="L8" s="1650"/>
    </row>
    <row s="1661" customFormat="1" customHeight="1" ht="14.25" hidden="1">
      <c r="A9" s="1380"/>
      <c r="B9" s="1156"/>
      <c r="C9" s="332"/>
      <c r="K9" s="1650"/>
      <c r="L9" s="1650"/>
    </row>
    <row s="1661" customFormat="1" customHeight="1" ht="18.75" hidden="1">
      <c r="A10" s="1709"/>
      <c r="B10" s="1156"/>
      <c r="C10" s="1755" t="s">
        <v>1021</v>
      </c>
      <c r="D10" s="1699"/>
      <c r="E10" s="185" t="s">
        <v>1025</v>
      </c>
      <c r="F10" s="1696"/>
      <c r="G10" s="1700"/>
      <c r="H10" s="1696" t="s">
        <v>290</v>
      </c>
      <c r="K10" s="1650"/>
      <c r="L10" s="1650" t="s">
        <v>1026</v>
      </c>
    </row>
    <row customHeight="1" ht="14.25" hidden="1"/>
    <row customHeight="1" ht="14.25" hidden="1"/>
    <row customHeight="1" ht="14.25">
      <c r="C13" s="76"/>
      <c r="D13" s="65"/>
      <c r="E13" s="65"/>
      <c r="F13" s="65"/>
      <c r="G13" s="65"/>
      <c r="H13" s="66"/>
      <c r="I13" s="66"/>
    </row>
    <row customHeight="1" ht="27.75">
      <c r="C14" s="76"/>
      <c r="D14" s="219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93"/>
      <c r="F14" s="2193"/>
      <c r="G14" s="2193"/>
      <c r="H14" s="2194"/>
      <c r="J14" s="1657"/>
    </row>
    <row s="1661" customFormat="1" customHeight="1" ht="14.25">
      <c r="A15" s="1380"/>
      <c r="B15" s="1156"/>
      <c r="C15" s="368"/>
      <c r="D15" s="2195" t="str">
        <f>IF(org=0,"Не определено",org)</f>
        <v>ИМУП «ПОСЖИЛКОМСЕРВИС»</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284</v>
      </c>
      <c r="E18" s="2043"/>
      <c r="F18" s="2043"/>
      <c r="G18" s="2043"/>
      <c r="H18" s="2043"/>
      <c r="I18" s="2283" t="s">
        <v>285</v>
      </c>
    </row>
    <row customHeight="1" ht="21">
      <c r="C19" s="76"/>
      <c r="D19" s="85" t="s">
        <v>84</v>
      </c>
      <c r="E19" s="88" t="s">
        <v>286</v>
      </c>
      <c r="F19" s="88"/>
      <c r="G19" s="88" t="s">
        <v>287</v>
      </c>
      <c r="H19" s="88" t="s">
        <v>376</v>
      </c>
      <c r="I19" s="2283"/>
    </row>
    <row customHeight="1" ht="12" hidden="1">
      <c r="C20" s="76"/>
      <c r="D20" s="68"/>
      <c r="E20" s="68"/>
      <c r="F20" s="68"/>
      <c r="G20" s="68"/>
      <c r="H20" s="68"/>
      <c r="I20" s="68"/>
    </row>
    <row customHeight="1" ht="14.25">
      <c r="A21" s="1709"/>
      <c r="C21" s="76"/>
      <c r="D21" s="127">
        <v>1</v>
      </c>
      <c r="E21" s="2285" t="s">
        <v>1027</v>
      </c>
      <c r="F21" s="2285"/>
      <c r="G21" s="2285"/>
      <c r="H21" s="2285"/>
      <c r="I21" s="187"/>
    </row>
    <row customHeight="1" ht="20.25">
      <c r="A22" s="1709"/>
      <c r="C22" s="76"/>
      <c r="D22" s="127" t="s">
        <v>914</v>
      </c>
      <c r="E22" s="173" t="s">
        <v>1028</v>
      </c>
      <c r="F22" s="177"/>
      <c r="G22" s="1762"/>
      <c r="H22" s="177" t="s">
        <v>290</v>
      </c>
      <c r="I22" s="131" t="s">
        <v>1029</v>
      </c>
    </row>
    <row customHeight="1" ht="45">
      <c r="A23" s="1709"/>
      <c r="C23" s="76"/>
      <c r="D23" s="127" t="s">
        <v>916</v>
      </c>
      <c r="E23" s="173" t="s">
        <v>1030</v>
      </c>
      <c r="F23" s="177"/>
      <c r="G23" s="236"/>
      <c r="H23" s="192"/>
      <c r="I23" s="237" t="s">
        <v>1031</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77"/>
      <c r="G24" s="177" t="s">
        <v>290</v>
      </c>
      <c r="H24" s="192"/>
      <c r="I24" s="238" t="s">
        <v>781</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4"/>
      <c r="G25" s="2284"/>
      <c r="H25" s="2284"/>
      <c r="I25" s="235"/>
    </row>
    <row customHeight="1" ht="14.25">
      <c r="A26" s="1709"/>
      <c r="C26" s="76"/>
      <c r="D26" s="127" t="s">
        <v>310</v>
      </c>
      <c r="E26" s="178"/>
      <c r="F26" s="177"/>
      <c r="G26" s="177" t="s">
        <v>290</v>
      </c>
      <c r="H26" s="192"/>
      <c r="I26" s="1996" t="s">
        <v>1032</v>
      </c>
    </row>
    <row customHeight="1" ht="15">
      <c r="A27" s="1709" t="s">
        <v>106</v>
      </c>
      <c r="C27" s="76"/>
      <c r="D27" s="89"/>
      <c r="E27" s="182" t="s">
        <v>1016</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84"/>
      <c r="G28" s="2284"/>
      <c r="H28" s="2284"/>
      <c r="I28" s="235"/>
    </row>
    <row customHeight="1" ht="20.25">
      <c r="A29" s="1709"/>
      <c r="C29" s="76"/>
      <c r="D29" s="127" t="s">
        <v>645</v>
      </c>
      <c r="E29" s="184" t="s">
        <v>1022</v>
      </c>
      <c r="F29" s="177"/>
      <c r="G29" s="236"/>
      <c r="H29" s="177" t="s">
        <v>290</v>
      </c>
      <c r="I29" s="1996" t="s">
        <v>1033</v>
      </c>
    </row>
    <row customHeight="1" ht="15">
      <c r="A30" s="1709" t="s">
        <v>107</v>
      </c>
      <c r="C30" s="76"/>
      <c r="D30" s="89"/>
      <c r="E30" s="182" t="s">
        <v>1016</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84"/>
      <c r="G31" s="2284"/>
      <c r="H31" s="2284"/>
      <c r="I31" s="235"/>
    </row>
    <row customHeight="1" ht="26.25">
      <c r="A32" s="1709"/>
      <c r="C32" s="76"/>
      <c r="D32" s="127" t="s">
        <v>299</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32"/>
      <c r="G32" s="2232"/>
      <c r="H32" s="2232"/>
      <c r="I32" s="235"/>
    </row>
    <row customHeight="1" ht="14.25">
      <c r="A33" s="1709"/>
      <c r="C33" s="76"/>
      <c r="D33" s="127" t="s">
        <v>1034</v>
      </c>
      <c r="E33" s="185" t="s">
        <v>1023</v>
      </c>
      <c r="F33" s="177"/>
      <c r="G33" s="236"/>
      <c r="H33" s="177" t="s">
        <v>290</v>
      </c>
      <c r="I33" s="1996" t="s">
        <v>1035</v>
      </c>
    </row>
    <row customHeight="1" ht="15">
      <c r="A34" s="1709" t="s">
        <v>86</v>
      </c>
      <c r="C34" s="76"/>
      <c r="D34" s="89"/>
      <c r="E34" s="183" t="s">
        <v>1016</v>
      </c>
      <c r="F34" s="179"/>
      <c r="G34" s="179"/>
      <c r="H34" s="180"/>
      <c r="I34" s="1998"/>
    </row>
    <row customHeight="1" ht="24">
      <c r="A35" s="1709"/>
      <c r="C35" s="76"/>
      <c r="D35" s="127" t="s">
        <v>301</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32"/>
      <c r="G35" s="2232"/>
      <c r="H35" s="2232"/>
      <c r="I35" s="235"/>
    </row>
    <row customHeight="1" ht="14.25">
      <c r="A36" s="1709"/>
      <c r="C36" s="76"/>
      <c r="D36" s="127" t="s">
        <v>1036</v>
      </c>
      <c r="E36" s="185" t="s">
        <v>1024</v>
      </c>
      <c r="F36" s="177"/>
      <c r="G36" s="236"/>
      <c r="H36" s="177" t="s">
        <v>290</v>
      </c>
      <c r="I36" s="1974" t="s">
        <v>1037</v>
      </c>
    </row>
    <row customHeight="1" ht="15">
      <c r="A37" s="1709" t="s">
        <v>87</v>
      </c>
      <c r="C37" s="76"/>
      <c r="D37" s="89"/>
      <c r="E37" s="183" t="s">
        <v>1016</v>
      </c>
      <c r="F37" s="179"/>
      <c r="G37" s="179"/>
      <c r="H37" s="180"/>
      <c r="I37" s="1974"/>
    </row>
    <row customHeight="1" ht="26.25">
      <c r="A38" s="1709"/>
      <c r="C38" s="76"/>
      <c r="D38" s="127" t="s">
        <v>304</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32"/>
      <c r="G38" s="2232"/>
      <c r="H38" s="2232"/>
      <c r="I38" s="235"/>
    </row>
    <row customHeight="1" ht="14.25">
      <c r="A39" s="1709"/>
      <c r="C39" s="76"/>
      <c r="D39" s="127" t="s">
        <v>774</v>
      </c>
      <c r="E39" s="185" t="s">
        <v>1025</v>
      </c>
      <c r="F39" s="177"/>
      <c r="G39" s="186"/>
      <c r="H39" s="177" t="s">
        <v>290</v>
      </c>
      <c r="I39" s="1996" t="s">
        <v>1038</v>
      </c>
      <c r="L39" s="135" t="s">
        <v>1026</v>
      </c>
    </row>
    <row customHeight="1" ht="15">
      <c r="A40" s="1709" t="s">
        <v>108</v>
      </c>
      <c r="C40" s="76"/>
      <c r="D40" s="89"/>
      <c r="E40" s="183" t="s">
        <v>1016</v>
      </c>
      <c r="F40" s="179"/>
      <c r="G40" s="179"/>
      <c r="H40" s="180"/>
      <c r="I40" s="1998"/>
    </row>
    <row s="1849" customFormat="1" customHeight="1" ht="3">
      <c r="A41" s="1709"/>
      <c r="K41" s="175"/>
      <c r="L41" s="175"/>
    </row>
    <row customHeight="1" ht="24.75">
      <c r="D42" s="1707" t="s">
        <v>696</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37B72-DE58-4CBD-E91A-50CDD32DC3A5}"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153</v>
      </c>
      <c r="B2" s="1806" t="s">
        <v>154</v>
      </c>
      <c r="C2" s="361"/>
      <c r="D2" s="332"/>
      <c r="E2" s="1027"/>
      <c r="F2" s="1027"/>
      <c r="G2" s="2253" t="str">
        <f>INDEX(PT_DIFFERENTIATION_NTAR,MATCH(B2,PT_DIFFERENTIATION_NTAR_ID,0))</f>
        <v/>
      </c>
      <c r="H2" s="1890"/>
      <c r="I2" s="1764"/>
      <c r="J2" s="1799"/>
      <c r="K2" s="1891"/>
      <c r="L2" s="1890" t="s">
        <v>290</v>
      </c>
      <c r="M2" s="1901"/>
      <c r="N2" s="322"/>
      <c r="O2" s="1650"/>
      <c r="P2" s="1650"/>
    </row>
    <row s="1661" customFormat="1" customHeight="1" ht="18.75" hidden="1">
      <c r="A3" s="1806"/>
      <c r="B3" s="1806"/>
      <c r="C3" s="361" t="s">
        <v>1039</v>
      </c>
      <c r="D3" s="332"/>
      <c r="E3" s="1027"/>
      <c r="F3" s="1027"/>
      <c r="G3" s="2253"/>
      <c r="H3" s="1518"/>
      <c r="I3" s="646" t="s">
        <v>1040</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153</v>
      </c>
      <c r="B5" s="1806" t="s">
        <v>154</v>
      </c>
      <c r="C5" s="361"/>
      <c r="D5" s="332"/>
      <c r="E5" s="1027"/>
      <c r="F5" s="1027"/>
      <c r="G5" s="2253" t="str">
        <f>INDEX(PT_DIFFERENTIATION_NTAR,MATCH(B5,PT_DIFFERENTIATION_NTAR_ID,0))</f>
        <v/>
      </c>
      <c r="H5" s="1890"/>
      <c r="I5" s="1764"/>
      <c r="J5" s="1799"/>
      <c r="K5" s="1804"/>
      <c r="L5" s="1890" t="s">
        <v>290</v>
      </c>
      <c r="M5" s="1901"/>
      <c r="N5" s="322"/>
      <c r="O5" s="1650"/>
      <c r="P5" s="1650"/>
    </row>
    <row s="1661" customFormat="1" customHeight="1" ht="18.75" hidden="1">
      <c r="A6" s="1806"/>
      <c r="B6" s="1806"/>
      <c r="C6" s="361" t="s">
        <v>1041</v>
      </c>
      <c r="D6" s="332"/>
      <c r="E6" s="1027"/>
      <c r="F6" s="1027"/>
      <c r="G6" s="2253"/>
      <c r="H6" s="1518"/>
      <c r="I6" s="646" t="s">
        <v>1040</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290</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290</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284</v>
      </c>
      <c r="F19" s="2043"/>
      <c r="G19" s="2043"/>
      <c r="H19" s="2043"/>
      <c r="I19" s="2043"/>
      <c r="J19" s="2043"/>
      <c r="K19" s="2043"/>
      <c r="L19" s="2043"/>
      <c r="M19" s="2283" t="s">
        <v>285</v>
      </c>
    </row>
    <row customHeight="1" ht="21">
      <c r="D20" s="368"/>
      <c r="E20" s="2110" t="s">
        <v>84</v>
      </c>
      <c r="F20" s="2054" t="s">
        <v>120</v>
      </c>
      <c r="G20" s="2054" t="s">
        <v>121</v>
      </c>
      <c r="H20" s="2257" t="s">
        <v>1042</v>
      </c>
      <c r="I20" s="2261"/>
      <c r="J20" s="2258"/>
      <c r="K20" s="2054" t="s">
        <v>287</v>
      </c>
      <c r="L20" s="2054" t="s">
        <v>376</v>
      </c>
      <c r="M20" s="2283"/>
    </row>
    <row customHeight="1" ht="21">
      <c r="D21" s="368"/>
      <c r="E21" s="2112"/>
      <c r="F21" s="2055"/>
      <c r="G21" s="2055"/>
      <c r="H21" s="2049" t="s">
        <v>1043</v>
      </c>
      <c r="I21" s="2065"/>
      <c r="J21" s="88" t="s">
        <v>1044</v>
      </c>
      <c r="K21" s="2055"/>
      <c r="L21" s="2055"/>
      <c r="M21" s="2283"/>
    </row>
    <row customHeight="1" ht="12">
      <c r="D22" s="368"/>
      <c r="E22" s="262"/>
      <c r="F22" s="262"/>
      <c r="G22" s="262"/>
      <c r="H22" s="2288"/>
      <c r="I22" s="2288"/>
      <c r="J22" s="262"/>
      <c r="K22" s="262"/>
      <c r="L22" s="262"/>
      <c r="M22" s="262"/>
    </row>
    <row customHeight="1" ht="18.75">
      <c r="A23" s="1806"/>
      <c r="B23" s="1806"/>
      <c r="D23" s="368"/>
      <c r="E23" s="1892" t="s">
        <v>106</v>
      </c>
      <c r="F23" s="2289" t="str">
        <f>"Предлагаемый метод регулирования"&amp;IF(TEMPLATE_SPHERE="HEAT"," в сфере "&amp;TEMPLATE_SPHERE_RUS,"")</f>
        <v>Предлагаемый метод регулирования</v>
      </c>
      <c r="G23" s="2290"/>
      <c r="H23" s="2285"/>
      <c r="I23" s="2285"/>
      <c r="J23" s="2285"/>
      <c r="K23" s="2290" t="s">
        <v>290</v>
      </c>
      <c r="L23" s="2285"/>
      <c r="M23" s="1795"/>
      <c r="N23" s="322"/>
    </row>
    <row customHeight="1" ht="60.75" hidden="1">
      <c r="A24" s="1806" t="s">
        <v>153</v>
      </c>
      <c r="B24" s="1806" t="s">
        <v>154</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290</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1039</v>
      </c>
      <c r="D25" s="2287"/>
      <c r="E25" s="2037"/>
      <c r="F25" s="2291"/>
      <c r="G25" s="2253"/>
      <c r="H25" s="1518"/>
      <c r="I25" s="646" t="s">
        <v>1040</v>
      </c>
      <c r="J25" s="567"/>
      <c r="K25" s="1518"/>
      <c r="L25" s="193"/>
      <c r="M25" s="1997"/>
      <c r="N25" s="322"/>
      <c r="O25" s="1650"/>
      <c r="P25" s="1650"/>
    </row>
    <row customHeight="1" ht="0.75" hidden="1">
      <c r="A26" s="1806"/>
      <c r="B26" s="1806"/>
      <c r="C26" s="361" t="s">
        <v>1045</v>
      </c>
      <c r="D26" s="2287"/>
      <c r="E26" s="2037"/>
      <c r="F26" s="2207"/>
      <c r="G26" s="397"/>
      <c r="H26" s="1518"/>
      <c r="I26" s="392"/>
      <c r="J26" s="337"/>
      <c r="K26" s="1518"/>
      <c r="L26" s="180"/>
      <c r="M26" s="1997"/>
      <c r="N26" s="322"/>
    </row>
    <row s="1661" customFormat="1" customHeight="1" ht="45" hidden="1">
      <c r="A27" s="1806" t="s">
        <v>159</v>
      </c>
      <c r="B27" s="1806" t="s">
        <v>160</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290</v>
      </c>
      <c r="M27" s="1997"/>
      <c r="N27" s="322"/>
      <c r="O27" s="1650"/>
      <c r="P27" s="1650"/>
    </row>
    <row s="1661" customFormat="1" customHeight="1" ht="18.75" hidden="1">
      <c r="A28" s="1806"/>
      <c r="B28" s="1806"/>
      <c r="C28" s="361" t="s">
        <v>1039</v>
      </c>
      <c r="D28" s="2292"/>
      <c r="E28" s="2293"/>
      <c r="F28" s="2294"/>
      <c r="G28" s="2253"/>
      <c r="H28" s="1518"/>
      <c r="I28" s="646" t="s">
        <v>1040</v>
      </c>
      <c r="J28" s="567"/>
      <c r="K28" s="1518"/>
      <c r="L28" s="193"/>
      <c r="M28" s="1997"/>
      <c r="N28" s="322"/>
      <c r="O28" s="1650"/>
      <c r="P28" s="1650"/>
    </row>
    <row s="1661" customFormat="1" customHeight="1" ht="0.75" hidden="1">
      <c r="A29" s="1806"/>
      <c r="B29" s="1806"/>
      <c r="C29" s="361" t="s">
        <v>1045</v>
      </c>
      <c r="D29" s="2292"/>
      <c r="E29" s="2037"/>
      <c r="F29" s="2207"/>
      <c r="G29" s="397"/>
      <c r="H29" s="1518"/>
      <c r="I29" s="646"/>
      <c r="J29" s="567"/>
      <c r="K29" s="1518"/>
      <c r="L29" s="193"/>
      <c r="M29" s="1997"/>
      <c r="N29" s="322"/>
      <c r="O29" s="1650"/>
      <c r="P29" s="1650"/>
    </row>
    <row s="1661" customFormat="1" customHeight="1" ht="45" hidden="1">
      <c r="A30" s="1806" t="s">
        <v>165</v>
      </c>
      <c r="B30" s="1806" t="s">
        <v>166</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290</v>
      </c>
      <c r="M30" s="1997"/>
      <c r="N30" s="322"/>
      <c r="O30" s="1650"/>
      <c r="P30" s="1650"/>
    </row>
    <row s="1661" customFormat="1" customHeight="1" ht="18.75" hidden="1">
      <c r="A31" s="1806"/>
      <c r="B31" s="1806"/>
      <c r="C31" s="361" t="s">
        <v>1039</v>
      </c>
      <c r="D31" s="2292"/>
      <c r="E31" s="2037"/>
      <c r="F31" s="2207"/>
      <c r="G31" s="2253"/>
      <c r="H31" s="1518"/>
      <c r="I31" s="646" t="s">
        <v>1040</v>
      </c>
      <c r="J31" s="567"/>
      <c r="K31" s="1518"/>
      <c r="L31" s="193"/>
      <c r="M31" s="1997"/>
      <c r="N31" s="322"/>
      <c r="O31" s="1650"/>
      <c r="P31" s="1650"/>
    </row>
    <row s="1661" customFormat="1" customHeight="1" ht="0.75" hidden="1">
      <c r="A32" s="1806"/>
      <c r="B32" s="1806"/>
      <c r="C32" s="361" t="s">
        <v>1045</v>
      </c>
      <c r="D32" s="2292"/>
      <c r="E32" s="2037"/>
      <c r="F32" s="2207"/>
      <c r="G32" s="397"/>
      <c r="H32" s="1518"/>
      <c r="I32" s="646"/>
      <c r="J32" s="567"/>
      <c r="K32" s="1518"/>
      <c r="L32" s="193"/>
      <c r="M32" s="1997"/>
      <c r="N32" s="322"/>
      <c r="O32" s="1650"/>
      <c r="P32" s="1650"/>
    </row>
    <row s="1661" customFormat="1" customHeight="1" ht="45" hidden="1">
      <c r="A33" s="1806" t="s">
        <v>171</v>
      </c>
      <c r="B33" s="1806" t="s">
        <v>172</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290</v>
      </c>
      <c r="M33" s="1997"/>
      <c r="N33" s="322"/>
      <c r="O33" s="1650"/>
      <c r="P33" s="1650"/>
    </row>
    <row s="1661" customFormat="1" customHeight="1" ht="18.75" hidden="1">
      <c r="A34" s="1806"/>
      <c r="B34" s="1806"/>
      <c r="C34" s="361" t="s">
        <v>1039</v>
      </c>
      <c r="D34" s="2292"/>
      <c r="E34" s="2037"/>
      <c r="F34" s="2207"/>
      <c r="G34" s="2253"/>
      <c r="H34" s="1518"/>
      <c r="I34" s="646" t="s">
        <v>1040</v>
      </c>
      <c r="J34" s="567"/>
      <c r="K34" s="1518"/>
      <c r="L34" s="193"/>
      <c r="M34" s="1997"/>
      <c r="N34" s="322"/>
      <c r="O34" s="1650"/>
      <c r="P34" s="1650"/>
    </row>
    <row s="1661" customFormat="1" customHeight="1" ht="0.75" hidden="1">
      <c r="A35" s="1806"/>
      <c r="B35" s="1806"/>
      <c r="C35" s="361" t="s">
        <v>1045</v>
      </c>
      <c r="D35" s="2292"/>
      <c r="E35" s="2037"/>
      <c r="F35" s="2207"/>
      <c r="G35" s="397"/>
      <c r="H35" s="1518"/>
      <c r="I35" s="646"/>
      <c r="J35" s="567"/>
      <c r="K35" s="1518"/>
      <c r="L35" s="193"/>
      <c r="M35" s="1997"/>
      <c r="N35" s="322"/>
      <c r="O35" s="1650"/>
      <c r="P35" s="1650"/>
    </row>
    <row s="1661" customFormat="1" customHeight="1" ht="18.75" hidden="1">
      <c r="A36" s="1806" t="s">
        <v>177</v>
      </c>
      <c r="B36" s="1806" t="s">
        <v>178</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290</v>
      </c>
      <c r="M36" s="1997"/>
      <c r="N36" s="322"/>
      <c r="O36" s="1650"/>
      <c r="P36" s="1650"/>
    </row>
    <row s="1661" customFormat="1" customHeight="1" ht="18.75" hidden="1">
      <c r="A37" s="1806"/>
      <c r="B37" s="1806"/>
      <c r="C37" s="361" t="s">
        <v>1039</v>
      </c>
      <c r="D37" s="2292"/>
      <c r="E37" s="2037"/>
      <c r="F37" s="2207"/>
      <c r="G37" s="2253"/>
      <c r="H37" s="1518"/>
      <c r="I37" s="646" t="s">
        <v>1040</v>
      </c>
      <c r="J37" s="567"/>
      <c r="K37" s="1518"/>
      <c r="L37" s="193"/>
      <c r="M37" s="1997"/>
      <c r="N37" s="322"/>
      <c r="O37" s="1650"/>
      <c r="P37" s="1650"/>
    </row>
    <row s="1661" customFormat="1" customHeight="1" ht="0.75" hidden="1">
      <c r="A38" s="1806"/>
      <c r="B38" s="1806"/>
      <c r="C38" s="361" t="s">
        <v>1045</v>
      </c>
      <c r="D38" s="2292"/>
      <c r="E38" s="2037"/>
      <c r="F38" s="2207"/>
      <c r="G38" s="397"/>
      <c r="H38" s="1518"/>
      <c r="I38" s="646"/>
      <c r="J38" s="567"/>
      <c r="K38" s="1518"/>
      <c r="L38" s="193"/>
      <c r="M38" s="1997"/>
      <c r="N38" s="322"/>
      <c r="O38" s="1650"/>
      <c r="P38" s="1650"/>
    </row>
    <row s="1661" customFormat="1" customHeight="1" ht="18.75" hidden="1">
      <c r="A39" s="1806" t="s">
        <v>183</v>
      </c>
      <c r="B39" s="1806" t="s">
        <v>184</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290</v>
      </c>
      <c r="M39" s="1997"/>
      <c r="N39" s="322"/>
      <c r="O39" s="1650"/>
      <c r="P39" s="1650"/>
    </row>
    <row s="1661" customFormat="1" customHeight="1" ht="18.75" hidden="1">
      <c r="A40" s="1806"/>
      <c r="B40" s="1806"/>
      <c r="C40" s="361" t="s">
        <v>1039</v>
      </c>
      <c r="D40" s="2292"/>
      <c r="E40" s="2037"/>
      <c r="F40" s="2207"/>
      <c r="G40" s="2253"/>
      <c r="H40" s="1518"/>
      <c r="I40" s="646" t="s">
        <v>1040</v>
      </c>
      <c r="J40" s="567"/>
      <c r="K40" s="1518"/>
      <c r="L40" s="193"/>
      <c r="M40" s="1997"/>
      <c r="N40" s="322"/>
      <c r="O40" s="1650"/>
      <c r="P40" s="1650"/>
    </row>
    <row s="1661" customFormat="1" customHeight="1" ht="0.75" hidden="1">
      <c r="A41" s="1806"/>
      <c r="B41" s="1806"/>
      <c r="C41" s="361" t="s">
        <v>1045</v>
      </c>
      <c r="D41" s="2292"/>
      <c r="E41" s="2037"/>
      <c r="F41" s="2207"/>
      <c r="G41" s="397"/>
      <c r="H41" s="1518"/>
      <c r="I41" s="646"/>
      <c r="J41" s="567"/>
      <c r="K41" s="1518"/>
      <c r="L41" s="193"/>
      <c r="M41" s="1997"/>
      <c r="N41" s="322"/>
      <c r="O41" s="1650"/>
      <c r="P41" s="1650"/>
    </row>
    <row s="1661" customFormat="1" customHeight="1" ht="18.75" hidden="1">
      <c r="A42" s="1806" t="s">
        <v>189</v>
      </c>
      <c r="B42" s="1806" t="s">
        <v>190</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290</v>
      </c>
      <c r="M42" s="1997"/>
      <c r="N42" s="322"/>
      <c r="O42" s="1650"/>
      <c r="P42" s="1650"/>
    </row>
    <row s="1661" customFormat="1" customHeight="1" ht="18.75" hidden="1">
      <c r="A43" s="1806"/>
      <c r="B43" s="1806"/>
      <c r="C43" s="361" t="s">
        <v>1039</v>
      </c>
      <c r="D43" s="2292"/>
      <c r="E43" s="2037"/>
      <c r="F43" s="2207"/>
      <c r="G43" s="2253"/>
      <c r="H43" s="1518"/>
      <c r="I43" s="646" t="s">
        <v>1040</v>
      </c>
      <c r="J43" s="567"/>
      <c r="K43" s="1518"/>
      <c r="L43" s="193"/>
      <c r="M43" s="1997"/>
      <c r="N43" s="322"/>
      <c r="O43" s="1650"/>
      <c r="P43" s="1650"/>
    </row>
    <row s="1661" customFormat="1" customHeight="1" ht="0.75" hidden="1">
      <c r="A44" s="1806"/>
      <c r="B44" s="1806"/>
      <c r="C44" s="361" t="s">
        <v>1045</v>
      </c>
      <c r="D44" s="2292"/>
      <c r="E44" s="2037"/>
      <c r="F44" s="2207"/>
      <c r="G44" s="397"/>
      <c r="H44" s="1518"/>
      <c r="I44" s="646"/>
      <c r="J44" s="567"/>
      <c r="K44" s="1518"/>
      <c r="L44" s="193"/>
      <c r="M44" s="1997"/>
      <c r="N44" s="322"/>
      <c r="O44" s="1650"/>
      <c r="P44" s="1650"/>
    </row>
    <row s="1661" customFormat="1" customHeight="1" ht="18.75" hidden="1">
      <c r="A45" s="1806" t="s">
        <v>195</v>
      </c>
      <c r="B45" s="1806" t="s">
        <v>196</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290</v>
      </c>
      <c r="M45" s="1997"/>
      <c r="N45" s="322"/>
      <c r="O45" s="1650"/>
      <c r="P45" s="1650"/>
    </row>
    <row s="1661" customFormat="1" customHeight="1" ht="18.75" hidden="1">
      <c r="A46" s="1806"/>
      <c r="B46" s="1806"/>
      <c r="C46" s="361" t="s">
        <v>1039</v>
      </c>
      <c r="D46" s="2292"/>
      <c r="E46" s="2037"/>
      <c r="F46" s="2207"/>
      <c r="G46" s="2253"/>
      <c r="H46" s="1518"/>
      <c r="I46" s="646" t="s">
        <v>1040</v>
      </c>
      <c r="J46" s="567"/>
      <c r="K46" s="1518"/>
      <c r="L46" s="193"/>
      <c r="M46" s="1997"/>
      <c r="N46" s="322"/>
      <c r="O46" s="1650"/>
      <c r="P46" s="1650"/>
    </row>
    <row s="1661" customFormat="1" customHeight="1" ht="0.75" hidden="1">
      <c r="A47" s="1806"/>
      <c r="B47" s="1806"/>
      <c r="C47" s="361" t="s">
        <v>1045</v>
      </c>
      <c r="D47" s="2292"/>
      <c r="E47" s="2037"/>
      <c r="F47" s="2207"/>
      <c r="G47" s="397"/>
      <c r="H47" s="1518"/>
      <c r="I47" s="646"/>
      <c r="J47" s="567"/>
      <c r="K47" s="1518"/>
      <c r="L47" s="193"/>
      <c r="M47" s="1997"/>
      <c r="N47" s="322"/>
      <c r="O47" s="1650"/>
      <c r="P47" s="1650"/>
    </row>
    <row s="1661" customFormat="1" customHeight="1" ht="18.75" hidden="1">
      <c r="A48" s="1806" t="s">
        <v>209</v>
      </c>
      <c r="B48" s="1806" t="s">
        <v>210</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290</v>
      </c>
      <c r="M48" s="1997"/>
      <c r="N48" s="322"/>
      <c r="O48" s="1650"/>
      <c r="P48" s="1650"/>
    </row>
    <row s="1661" customFormat="1" customHeight="1" ht="18.75" hidden="1">
      <c r="A49" s="1806"/>
      <c r="B49" s="1806"/>
      <c r="C49" s="361" t="s">
        <v>1039</v>
      </c>
      <c r="D49" s="2292"/>
      <c r="E49" s="2037"/>
      <c r="F49" s="2207"/>
      <c r="G49" s="2253"/>
      <c r="H49" s="1518"/>
      <c r="I49" s="646" t="s">
        <v>1040</v>
      </c>
      <c r="J49" s="567"/>
      <c r="K49" s="1518"/>
      <c r="L49" s="193"/>
      <c r="M49" s="1997"/>
      <c r="N49" s="322"/>
      <c r="O49" s="1650"/>
      <c r="P49" s="1650"/>
    </row>
    <row s="1661" customFormat="1" customHeight="1" ht="0.75" hidden="1">
      <c r="A50" s="1806"/>
      <c r="B50" s="1806"/>
      <c r="C50" s="361" t="s">
        <v>1045</v>
      </c>
      <c r="D50" s="2292"/>
      <c r="E50" s="2037"/>
      <c r="F50" s="2207"/>
      <c r="G50" s="397"/>
      <c r="H50" s="1518"/>
      <c r="I50" s="646"/>
      <c r="J50" s="567"/>
      <c r="K50" s="1518"/>
      <c r="L50" s="193"/>
      <c r="M50" s="1997"/>
      <c r="N50" s="322"/>
      <c r="O50" s="1650"/>
      <c r="P50" s="1650"/>
    </row>
    <row s="1661" customFormat="1" customHeight="1" ht="18.75" hidden="1">
      <c r="A51" s="1806" t="s">
        <v>214</v>
      </c>
      <c r="B51" s="1806" t="s">
        <v>215</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290</v>
      </c>
      <c r="M51" s="1997"/>
      <c r="N51" s="322"/>
      <c r="O51" s="1650"/>
      <c r="P51" s="1650"/>
    </row>
    <row s="1661" customFormat="1" customHeight="1" ht="18.75" hidden="1">
      <c r="A52" s="1806"/>
      <c r="B52" s="1806"/>
      <c r="C52" s="361" t="s">
        <v>1039</v>
      </c>
      <c r="D52" s="2292"/>
      <c r="E52" s="2037"/>
      <c r="F52" s="2207"/>
      <c r="G52" s="2253"/>
      <c r="H52" s="1518"/>
      <c r="I52" s="646" t="s">
        <v>1040</v>
      </c>
      <c r="J52" s="567"/>
      <c r="K52" s="1518"/>
      <c r="L52" s="193"/>
      <c r="M52" s="1997"/>
      <c r="N52" s="322"/>
      <c r="O52" s="1650"/>
      <c r="P52" s="1650"/>
    </row>
    <row s="1661" customFormat="1" customHeight="1" ht="0.75" hidden="1">
      <c r="A53" s="1806"/>
      <c r="B53" s="1806"/>
      <c r="C53" s="361" t="s">
        <v>1045</v>
      </c>
      <c r="D53" s="2292"/>
      <c r="E53" s="2037"/>
      <c r="F53" s="2207"/>
      <c r="G53" s="397"/>
      <c r="H53" s="1518"/>
      <c r="I53" s="646"/>
      <c r="J53" s="567"/>
      <c r="K53" s="1518"/>
      <c r="L53" s="193"/>
      <c r="M53" s="1997"/>
      <c r="N53" s="322"/>
      <c r="O53" s="1650"/>
      <c r="P53" s="1650"/>
    </row>
    <row s="1661" customFormat="1" customHeight="1" ht="18.75" hidden="1">
      <c r="A54" s="1806" t="s">
        <v>219</v>
      </c>
      <c r="B54" s="1806" t="s">
        <v>220</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290</v>
      </c>
      <c r="M54" s="1997"/>
      <c r="N54" s="322"/>
      <c r="O54" s="1650"/>
      <c r="P54" s="1650"/>
    </row>
    <row s="1661" customFormat="1" customHeight="1" ht="18.75" hidden="1">
      <c r="A55" s="1806"/>
      <c r="B55" s="1806"/>
      <c r="C55" s="361" t="s">
        <v>1039</v>
      </c>
      <c r="D55" s="2292"/>
      <c r="E55" s="2037"/>
      <c r="F55" s="2207"/>
      <c r="G55" s="2253"/>
      <c r="H55" s="1518"/>
      <c r="I55" s="646" t="s">
        <v>1040</v>
      </c>
      <c r="J55" s="567"/>
      <c r="K55" s="1518"/>
      <c r="L55" s="193"/>
      <c r="M55" s="1997"/>
      <c r="N55" s="322"/>
      <c r="O55" s="1650"/>
      <c r="P55" s="1650"/>
    </row>
    <row s="1661" customFormat="1" customHeight="1" ht="0.75" hidden="1">
      <c r="A56" s="1806"/>
      <c r="B56" s="1806"/>
      <c r="C56" s="361" t="s">
        <v>1045</v>
      </c>
      <c r="D56" s="2292"/>
      <c r="E56" s="2037"/>
      <c r="F56" s="2207"/>
      <c r="G56" s="397"/>
      <c r="H56" s="1518"/>
      <c r="I56" s="646"/>
      <c r="J56" s="567"/>
      <c r="K56" s="1518"/>
      <c r="L56" s="193"/>
      <c r="M56" s="1997"/>
      <c r="N56" s="322"/>
      <c r="O56" s="1650"/>
      <c r="P56" s="1650"/>
    </row>
    <row s="1661" customFormat="1" customHeight="1" ht="18.75" hidden="1">
      <c r="A57" s="1806" t="s">
        <v>224</v>
      </c>
      <c r="B57" s="1806" t="s">
        <v>225</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290</v>
      </c>
      <c r="M57" s="1997"/>
      <c r="N57" s="322"/>
      <c r="O57" s="1650"/>
      <c r="P57" s="1650"/>
    </row>
    <row s="1661" customFormat="1" customHeight="1" ht="18.75" hidden="1">
      <c r="A58" s="1806"/>
      <c r="B58" s="1806"/>
      <c r="C58" s="361" t="s">
        <v>1039</v>
      </c>
      <c r="D58" s="2292"/>
      <c r="E58" s="2037"/>
      <c r="F58" s="2207"/>
      <c r="G58" s="2253"/>
      <c r="H58" s="1518"/>
      <c r="I58" s="646" t="s">
        <v>1040</v>
      </c>
      <c r="J58" s="567"/>
      <c r="K58" s="1518"/>
      <c r="L58" s="193"/>
      <c r="M58" s="1997"/>
      <c r="N58" s="322"/>
      <c r="O58" s="1650"/>
      <c r="P58" s="1650"/>
    </row>
    <row s="1661" customFormat="1" customHeight="1" ht="0.75" hidden="1">
      <c r="A59" s="1806"/>
      <c r="B59" s="1806"/>
      <c r="C59" s="361" t="s">
        <v>1045</v>
      </c>
      <c r="D59" s="2292"/>
      <c r="E59" s="2037"/>
      <c r="F59" s="2207"/>
      <c r="G59" s="397"/>
      <c r="H59" s="1518"/>
      <c r="I59" s="646"/>
      <c r="J59" s="567"/>
      <c r="K59" s="1518"/>
      <c r="L59" s="193"/>
      <c r="M59" s="1997"/>
      <c r="N59" s="322"/>
      <c r="O59" s="1650"/>
      <c r="P59" s="1650"/>
    </row>
    <row s="1661" customFormat="1" customHeight="1" ht="18.75" hidden="1">
      <c r="A60" s="1806" t="s">
        <v>229</v>
      </c>
      <c r="B60" s="1806" t="s">
        <v>230</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290</v>
      </c>
      <c r="M60" s="1997"/>
      <c r="N60" s="322"/>
      <c r="O60" s="1650"/>
      <c r="P60" s="1650"/>
    </row>
    <row s="1661" customFormat="1" customHeight="1" ht="18.75" hidden="1">
      <c r="A61" s="1806"/>
      <c r="B61" s="1806"/>
      <c r="C61" s="361" t="s">
        <v>1039</v>
      </c>
      <c r="D61" s="2292"/>
      <c r="E61" s="2037"/>
      <c r="F61" s="2207"/>
      <c r="G61" s="2253"/>
      <c r="H61" s="1518"/>
      <c r="I61" s="646" t="s">
        <v>1040</v>
      </c>
      <c r="J61" s="567"/>
      <c r="K61" s="1518"/>
      <c r="L61" s="193"/>
      <c r="M61" s="1997"/>
      <c r="N61" s="322"/>
      <c r="O61" s="1650"/>
      <c r="P61" s="1650"/>
    </row>
    <row s="1661" customFormat="1" customHeight="1" ht="0.75" hidden="1">
      <c r="A62" s="1806"/>
      <c r="B62" s="1806"/>
      <c r="C62" s="361" t="s">
        <v>1045</v>
      </c>
      <c r="D62" s="2292"/>
      <c r="E62" s="2037"/>
      <c r="F62" s="2207"/>
      <c r="G62" s="397"/>
      <c r="H62" s="1518"/>
      <c r="I62" s="646"/>
      <c r="J62" s="567"/>
      <c r="K62" s="1518"/>
      <c r="L62" s="193"/>
      <c r="M62" s="1997"/>
      <c r="N62" s="322"/>
      <c r="O62" s="1650"/>
      <c r="P62" s="1650"/>
    </row>
    <row s="1661" customFormat="1" customHeight="1" ht="18.75" hidden="1">
      <c r="A63" s="1806" t="s">
        <v>234</v>
      </c>
      <c r="B63" s="1806" t="s">
        <v>235</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290</v>
      </c>
      <c r="M63" s="1997"/>
      <c r="N63" s="322"/>
      <c r="O63" s="1650"/>
      <c r="P63" s="1650"/>
    </row>
    <row s="1661" customFormat="1" customHeight="1" ht="18.75" hidden="1">
      <c r="A64" s="1806"/>
      <c r="B64" s="1806"/>
      <c r="C64" s="361" t="s">
        <v>1039</v>
      </c>
      <c r="D64" s="2292"/>
      <c r="E64" s="2037"/>
      <c r="F64" s="2207"/>
      <c r="G64" s="2253"/>
      <c r="H64" s="1518"/>
      <c r="I64" s="646" t="s">
        <v>1040</v>
      </c>
      <c r="J64" s="567"/>
      <c r="K64" s="1518"/>
      <c r="L64" s="193"/>
      <c r="M64" s="1997"/>
      <c r="N64" s="322"/>
      <c r="O64" s="1650"/>
      <c r="P64" s="1650"/>
    </row>
    <row s="1661" customFormat="1" customHeight="1" ht="0.75" hidden="1">
      <c r="A65" s="1806"/>
      <c r="B65" s="1806"/>
      <c r="C65" s="361" t="s">
        <v>1045</v>
      </c>
      <c r="D65" s="2292"/>
      <c r="E65" s="2037"/>
      <c r="F65" s="2207"/>
      <c r="G65" s="397"/>
      <c r="H65" s="1518"/>
      <c r="I65" s="646"/>
      <c r="J65" s="567"/>
      <c r="K65" s="1518"/>
      <c r="L65" s="193"/>
      <c r="M65" s="1997"/>
      <c r="N65" s="322"/>
      <c r="O65" s="1650"/>
      <c r="P65" s="1650"/>
    </row>
    <row s="1661" customFormat="1" customHeight="1" ht="18.75" hidden="1">
      <c r="A66" s="1806" t="s">
        <v>239</v>
      </c>
      <c r="B66" s="1806" t="s">
        <v>240</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290</v>
      </c>
      <c r="M66" s="1997"/>
      <c r="N66" s="322"/>
      <c r="O66" s="1650"/>
      <c r="P66" s="1650"/>
    </row>
    <row s="1661" customFormat="1" customHeight="1" ht="18.75" hidden="1">
      <c r="A67" s="1806"/>
      <c r="B67" s="1806"/>
      <c r="C67" s="361" t="s">
        <v>1039</v>
      </c>
      <c r="D67" s="2292"/>
      <c r="E67" s="2037"/>
      <c r="F67" s="2207"/>
      <c r="G67" s="2253"/>
      <c r="H67" s="1518"/>
      <c r="I67" s="646" t="s">
        <v>1040</v>
      </c>
      <c r="J67" s="567"/>
      <c r="K67" s="1518"/>
      <c r="L67" s="193"/>
      <c r="M67" s="1997"/>
      <c r="N67" s="322"/>
      <c r="O67" s="1650"/>
      <c r="P67" s="1650"/>
    </row>
    <row s="1661" customFormat="1" customHeight="1" ht="0.75" hidden="1">
      <c r="A68" s="1806"/>
      <c r="B68" s="1806"/>
      <c r="C68" s="361" t="s">
        <v>1045</v>
      </c>
      <c r="D68" s="2292"/>
      <c r="E68" s="2037"/>
      <c r="F68" s="2207"/>
      <c r="G68" s="397"/>
      <c r="H68" s="1518"/>
      <c r="I68" s="646"/>
      <c r="J68" s="567"/>
      <c r="K68" s="1518"/>
      <c r="L68" s="193"/>
      <c r="M68" s="1997"/>
      <c r="N68" s="322"/>
      <c r="O68" s="1650"/>
      <c r="P68" s="1650"/>
    </row>
    <row s="1661" customFormat="1" customHeight="1" ht="18.75" hidden="1">
      <c r="A69" s="1806" t="s">
        <v>244</v>
      </c>
      <c r="B69" s="1806" t="s">
        <v>245</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290</v>
      </c>
      <c r="M69" s="1997"/>
      <c r="N69" s="322"/>
      <c r="O69" s="1650"/>
      <c r="P69" s="1650"/>
    </row>
    <row s="1661" customFormat="1" customHeight="1" ht="18.75" hidden="1">
      <c r="A70" s="1806"/>
      <c r="B70" s="1806"/>
      <c r="C70" s="361" t="s">
        <v>1039</v>
      </c>
      <c r="D70" s="2292"/>
      <c r="E70" s="2037"/>
      <c r="F70" s="2207"/>
      <c r="G70" s="2253"/>
      <c r="H70" s="1518"/>
      <c r="I70" s="646" t="s">
        <v>1040</v>
      </c>
      <c r="J70" s="567"/>
      <c r="K70" s="1518"/>
      <c r="L70" s="193"/>
      <c r="M70" s="1997"/>
      <c r="N70" s="322"/>
      <c r="O70" s="1650"/>
      <c r="P70" s="1650"/>
    </row>
    <row s="1661" customFormat="1" customHeight="1" ht="0.75" hidden="1">
      <c r="A71" s="1806"/>
      <c r="B71" s="1806"/>
      <c r="C71" s="361" t="s">
        <v>1045</v>
      </c>
      <c r="D71" s="2292"/>
      <c r="E71" s="2037"/>
      <c r="F71" s="2207"/>
      <c r="G71" s="397"/>
      <c r="H71" s="1518"/>
      <c r="I71" s="646"/>
      <c r="J71" s="567"/>
      <c r="K71" s="1518"/>
      <c r="L71" s="193"/>
      <c r="M71" s="1997"/>
      <c r="N71" s="322"/>
      <c r="O71" s="1650"/>
      <c r="P71" s="1650"/>
    </row>
    <row s="1661" customFormat="1" customHeight="1" ht="18.75" hidden="1">
      <c r="A72" s="1806" t="s">
        <v>249</v>
      </c>
      <c r="B72" s="1806" t="s">
        <v>250</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290</v>
      </c>
      <c r="M72" s="1997"/>
      <c r="N72" s="322"/>
      <c r="O72" s="1650"/>
      <c r="P72" s="1650"/>
    </row>
    <row s="1661" customFormat="1" customHeight="1" ht="18.75" hidden="1">
      <c r="A73" s="1806"/>
      <c r="B73" s="1806"/>
      <c r="C73" s="361" t="s">
        <v>1039</v>
      </c>
      <c r="D73" s="2292"/>
      <c r="E73" s="2037"/>
      <c r="F73" s="2207"/>
      <c r="G73" s="2253"/>
      <c r="H73" s="1518"/>
      <c r="I73" s="646" t="s">
        <v>1040</v>
      </c>
      <c r="J73" s="567"/>
      <c r="K73" s="1518"/>
      <c r="L73" s="193"/>
      <c r="M73" s="1997"/>
      <c r="N73" s="322"/>
      <c r="O73" s="1650"/>
      <c r="P73" s="1650"/>
    </row>
    <row s="1661" customFormat="1" customHeight="1" ht="0.75" hidden="1">
      <c r="A74" s="1806"/>
      <c r="B74" s="1806"/>
      <c r="C74" s="361" t="s">
        <v>1045</v>
      </c>
      <c r="D74" s="2292"/>
      <c r="E74" s="2037"/>
      <c r="F74" s="2207"/>
      <c r="G74" s="397"/>
      <c r="H74" s="1518"/>
      <c r="I74" s="646"/>
      <c r="J74" s="567"/>
      <c r="K74" s="1518"/>
      <c r="L74" s="193"/>
      <c r="M74" s="1997"/>
      <c r="N74" s="322"/>
      <c r="O74" s="1650"/>
      <c r="P74" s="1650"/>
    </row>
    <row s="1661" customFormat="1" customHeight="1" ht="18.75" hidden="1">
      <c r="A75" s="1806" t="s">
        <v>254</v>
      </c>
      <c r="B75" s="1806" t="s">
        <v>255</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290</v>
      </c>
      <c r="M75" s="1997"/>
      <c r="N75" s="322"/>
      <c r="O75" s="1650"/>
      <c r="P75" s="1650"/>
    </row>
    <row s="1661" customFormat="1" customHeight="1" ht="18.75" hidden="1">
      <c r="A76" s="1806"/>
      <c r="B76" s="1806"/>
      <c r="C76" s="361" t="s">
        <v>1039</v>
      </c>
      <c r="D76" s="2292"/>
      <c r="E76" s="2037"/>
      <c r="F76" s="2207"/>
      <c r="G76" s="2253"/>
      <c r="H76" s="1518"/>
      <c r="I76" s="646" t="s">
        <v>1040</v>
      </c>
      <c r="J76" s="567"/>
      <c r="K76" s="1518"/>
      <c r="L76" s="193"/>
      <c r="M76" s="1997"/>
      <c r="N76" s="322"/>
      <c r="O76" s="1650"/>
      <c r="P76" s="1650"/>
    </row>
    <row s="1661" customFormat="1" customHeight="1" ht="0.75" hidden="1">
      <c r="A77" s="1806"/>
      <c r="B77" s="1806"/>
      <c r="C77" s="361" t="s">
        <v>1045</v>
      </c>
      <c r="D77" s="2292"/>
      <c r="E77" s="2037"/>
      <c r="F77" s="2207"/>
      <c r="G77" s="397"/>
      <c r="H77" s="1518"/>
      <c r="I77" s="646"/>
      <c r="J77" s="567"/>
      <c r="K77" s="1518"/>
      <c r="L77" s="193"/>
      <c r="M77" s="1997"/>
      <c r="N77" s="322"/>
      <c r="O77" s="1650"/>
      <c r="P77" s="1650"/>
    </row>
    <row s="1661" customFormat="1" customHeight="1" ht="18.75" hidden="1">
      <c r="A78" s="1806" t="s">
        <v>259</v>
      </c>
      <c r="B78" s="1806" t="s">
        <v>260</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290</v>
      </c>
      <c r="M78" s="1997"/>
      <c r="N78" s="322"/>
      <c r="O78" s="1650"/>
      <c r="P78" s="1650"/>
    </row>
    <row s="1661" customFormat="1" customHeight="1" ht="18.75" hidden="1">
      <c r="A79" s="1806"/>
      <c r="B79" s="1806"/>
      <c r="C79" s="361" t="s">
        <v>1039</v>
      </c>
      <c r="D79" s="2292"/>
      <c r="E79" s="2037"/>
      <c r="F79" s="2207"/>
      <c r="G79" s="2253"/>
      <c r="H79" s="1518"/>
      <c r="I79" s="646" t="s">
        <v>1040</v>
      </c>
      <c r="J79" s="567"/>
      <c r="K79" s="1518"/>
      <c r="L79" s="193"/>
      <c r="M79" s="1997"/>
      <c r="N79" s="322"/>
      <c r="O79" s="1650"/>
      <c r="P79" s="1650"/>
    </row>
    <row s="1661" customFormat="1" customHeight="1" ht="0.75">
      <c r="A80" s="1806"/>
      <c r="B80" s="1806"/>
      <c r="C80" s="361" t="s">
        <v>1045</v>
      </c>
      <c r="D80" s="2292"/>
      <c r="E80" s="2037"/>
      <c r="F80" s="2207"/>
      <c r="G80" s="397"/>
      <c r="H80" s="1518"/>
      <c r="I80" s="646"/>
      <c r="J80" s="567"/>
      <c r="K80" s="1518"/>
      <c r="L80" s="193"/>
      <c r="M80" s="1997"/>
      <c r="N80" s="322"/>
      <c r="O80" s="1650"/>
      <c r="P80" s="1650"/>
    </row>
    <row customHeight="1" ht="18.75">
      <c r="A81" s="1806"/>
      <c r="B81" s="1806"/>
      <c r="D81" s="368"/>
      <c r="E81" s="127" t="s">
        <v>107</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284"/>
      <c r="H81" s="2284"/>
      <c r="I81" s="2284"/>
      <c r="J81" s="2284"/>
      <c r="K81" s="2284"/>
      <c r="L81" s="2284"/>
      <c r="M81" s="277"/>
      <c r="N81" s="322"/>
    </row>
    <row customHeight="1" ht="33.75">
      <c r="A82" s="1806"/>
      <c r="B82" s="1806"/>
      <c r="D82" s="368"/>
      <c r="E82" s="396"/>
      <c r="F82" s="177" t="s">
        <v>290</v>
      </c>
      <c r="G82" s="177" t="s">
        <v>290</v>
      </c>
      <c r="H82" s="2049" t="s">
        <v>290</v>
      </c>
      <c r="I82" s="2065"/>
      <c r="J82" s="177" t="s">
        <v>290</v>
      </c>
      <c r="K82" s="177" t="s">
        <v>290</v>
      </c>
      <c r="L82" s="398"/>
      <c r="M82" s="333" t="s">
        <v>1046</v>
      </c>
      <c r="N82" s="322"/>
    </row>
    <row customHeight="1" ht="18.75">
      <c r="A83" s="1806"/>
      <c r="B83" s="1806"/>
      <c r="D83" s="368"/>
      <c r="E83" s="127" t="s">
        <v>86</v>
      </c>
      <c r="F83" s="2284" t="s">
        <v>1047</v>
      </c>
      <c r="G83" s="2284"/>
      <c r="H83" s="2284"/>
      <c r="I83" s="2284"/>
      <c r="J83" s="2284"/>
      <c r="K83" s="2284"/>
      <c r="L83" s="2284"/>
      <c r="M83" s="277"/>
      <c r="N83" s="322"/>
    </row>
    <row s="1661" customFormat="1" customHeight="1" ht="60.75" hidden="1">
      <c r="A84" s="1806" t="s">
        <v>153</v>
      </c>
      <c r="B84" s="1806" t="s">
        <v>154</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290</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1041</v>
      </c>
      <c r="D85" s="2292"/>
      <c r="E85" s="2037"/>
      <c r="F85" s="2207"/>
      <c r="G85" s="2253"/>
      <c r="H85" s="1518"/>
      <c r="I85" s="646" t="s">
        <v>1040</v>
      </c>
      <c r="J85" s="567"/>
      <c r="K85" s="1518"/>
      <c r="L85" s="193"/>
      <c r="M85" s="1997"/>
      <c r="N85" s="322"/>
      <c r="O85" s="1650"/>
      <c r="P85" s="1650"/>
    </row>
    <row s="1661" customFormat="1" customHeight="1" ht="0.75" hidden="1">
      <c r="A86" s="1806"/>
      <c r="B86" s="1806"/>
      <c r="C86" s="361" t="s">
        <v>1048</v>
      </c>
      <c r="D86" s="2292"/>
      <c r="E86" s="2037"/>
      <c r="F86" s="2207"/>
      <c r="G86" s="397"/>
      <c r="H86" s="1518"/>
      <c r="I86" s="646"/>
      <c r="J86" s="567"/>
      <c r="K86" s="1518"/>
      <c r="L86" s="193"/>
      <c r="M86" s="1997"/>
      <c r="N86" s="322"/>
      <c r="O86" s="1650"/>
      <c r="P86" s="1650"/>
    </row>
    <row s="1661" customFormat="1" customHeight="1" ht="45" hidden="1">
      <c r="A87" s="1806" t="s">
        <v>159</v>
      </c>
      <c r="B87" s="1806" t="s">
        <v>160</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290</v>
      </c>
      <c r="M87" s="1998"/>
      <c r="N87" s="322"/>
      <c r="O87" s="1650"/>
      <c r="P87" s="1650"/>
    </row>
    <row s="1661" customFormat="1" customHeight="1" ht="18.75" hidden="1">
      <c r="A88" s="1806"/>
      <c r="B88" s="1806"/>
      <c r="C88" s="361" t="s">
        <v>1041</v>
      </c>
      <c r="D88" s="2292"/>
      <c r="E88" s="2037"/>
      <c r="F88" s="2207"/>
      <c r="G88" s="2253"/>
      <c r="H88" s="1518"/>
      <c r="I88" s="646" t="s">
        <v>1040</v>
      </c>
      <c r="J88" s="567"/>
      <c r="K88" s="1518"/>
      <c r="L88" s="193"/>
      <c r="M88" s="1887"/>
      <c r="N88" s="322"/>
      <c r="O88" s="1650"/>
      <c r="P88" s="1650"/>
    </row>
    <row s="1661" customFormat="1" customHeight="1" ht="0.75" hidden="1">
      <c r="A89" s="1806"/>
      <c r="B89" s="1806"/>
      <c r="C89" s="361" t="s">
        <v>1048</v>
      </c>
      <c r="D89" s="2292"/>
      <c r="E89" s="2037"/>
      <c r="F89" s="2207"/>
      <c r="G89" s="397"/>
      <c r="H89" s="1518"/>
      <c r="I89" s="646"/>
      <c r="J89" s="567"/>
      <c r="K89" s="1518"/>
      <c r="L89" s="193"/>
      <c r="M89" s="329"/>
      <c r="N89" s="322"/>
      <c r="O89" s="1650"/>
      <c r="P89" s="1650"/>
    </row>
    <row s="1661" customFormat="1" customHeight="1" ht="45" hidden="1">
      <c r="A90" s="1806" t="s">
        <v>165</v>
      </c>
      <c r="B90" s="1806" t="s">
        <v>166</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290</v>
      </c>
      <c r="M90" s="329"/>
      <c r="N90" s="322"/>
      <c r="O90" s="1650"/>
      <c r="P90" s="1650"/>
    </row>
    <row s="1661" customFormat="1" customHeight="1" ht="18.75" hidden="1">
      <c r="A91" s="1806"/>
      <c r="B91" s="1806"/>
      <c r="C91" s="361" t="s">
        <v>1041</v>
      </c>
      <c r="D91" s="2292"/>
      <c r="E91" s="2037"/>
      <c r="F91" s="2207"/>
      <c r="G91" s="2253"/>
      <c r="H91" s="1518"/>
      <c r="I91" s="646" t="s">
        <v>1040</v>
      </c>
      <c r="J91" s="567"/>
      <c r="K91" s="1518"/>
      <c r="L91" s="193"/>
      <c r="M91" s="329"/>
      <c r="N91" s="322"/>
      <c r="O91" s="1650"/>
      <c r="P91" s="1650"/>
    </row>
    <row s="1661" customFormat="1" customHeight="1" ht="0.75" hidden="1">
      <c r="A92" s="1806"/>
      <c r="B92" s="1806"/>
      <c r="C92" s="361" t="s">
        <v>1048</v>
      </c>
      <c r="D92" s="2292"/>
      <c r="E92" s="2037"/>
      <c r="F92" s="2207"/>
      <c r="G92" s="397"/>
      <c r="H92" s="1518"/>
      <c r="I92" s="646"/>
      <c r="J92" s="567"/>
      <c r="K92" s="1518"/>
      <c r="L92" s="193"/>
      <c r="M92" s="329"/>
      <c r="N92" s="322"/>
      <c r="O92" s="1650"/>
      <c r="P92" s="1650"/>
    </row>
    <row s="1661" customFormat="1" customHeight="1" ht="45" hidden="1">
      <c r="A93" s="1806" t="s">
        <v>171</v>
      </c>
      <c r="B93" s="1806" t="s">
        <v>172</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290</v>
      </c>
      <c r="M93" s="329"/>
      <c r="N93" s="322"/>
      <c r="O93" s="1650"/>
      <c r="P93" s="1650"/>
    </row>
    <row s="1661" customFormat="1" customHeight="1" ht="18.75" hidden="1">
      <c r="A94" s="1806"/>
      <c r="B94" s="1806"/>
      <c r="C94" s="361" t="s">
        <v>1041</v>
      </c>
      <c r="D94" s="2292"/>
      <c r="E94" s="2037"/>
      <c r="F94" s="2207"/>
      <c r="G94" s="2253"/>
      <c r="H94" s="1518"/>
      <c r="I94" s="646" t="s">
        <v>1040</v>
      </c>
      <c r="J94" s="567"/>
      <c r="K94" s="1518"/>
      <c r="L94" s="193"/>
      <c r="M94" s="329"/>
      <c r="N94" s="322"/>
      <c r="O94" s="1650"/>
      <c r="P94" s="1650"/>
    </row>
    <row s="1661" customFormat="1" customHeight="1" ht="0.75" hidden="1">
      <c r="A95" s="1806"/>
      <c r="B95" s="1806"/>
      <c r="C95" s="361" t="s">
        <v>1048</v>
      </c>
      <c r="D95" s="2292"/>
      <c r="E95" s="2037"/>
      <c r="F95" s="2207"/>
      <c r="G95" s="397"/>
      <c r="H95" s="1518"/>
      <c r="I95" s="646"/>
      <c r="J95" s="567"/>
      <c r="K95" s="1518"/>
      <c r="L95" s="193"/>
      <c r="M95" s="329"/>
      <c r="N95" s="322"/>
      <c r="O95" s="1650"/>
      <c r="P95" s="1650"/>
    </row>
    <row s="1661" customFormat="1" customHeight="1" ht="18.75" hidden="1">
      <c r="A96" s="1806" t="s">
        <v>177</v>
      </c>
      <c r="B96" s="1806" t="s">
        <v>178</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290</v>
      </c>
      <c r="M96" s="329"/>
      <c r="N96" s="322"/>
      <c r="O96" s="1650"/>
      <c r="P96" s="1650"/>
    </row>
    <row s="1661" customFormat="1" customHeight="1" ht="18.75" hidden="1">
      <c r="A97" s="1806"/>
      <c r="B97" s="1806"/>
      <c r="C97" s="361" t="s">
        <v>1041</v>
      </c>
      <c r="D97" s="2292"/>
      <c r="E97" s="2037"/>
      <c r="F97" s="2207"/>
      <c r="G97" s="2253"/>
      <c r="H97" s="1518"/>
      <c r="I97" s="646" t="s">
        <v>1040</v>
      </c>
      <c r="J97" s="567"/>
      <c r="K97" s="1518"/>
      <c r="L97" s="193"/>
      <c r="M97" s="329"/>
      <c r="N97" s="322"/>
      <c r="O97" s="1650"/>
      <c r="P97" s="1650"/>
    </row>
    <row s="1661" customFormat="1" customHeight="1" ht="0.75" hidden="1">
      <c r="A98" s="1806"/>
      <c r="B98" s="1806"/>
      <c r="C98" s="361" t="s">
        <v>1048</v>
      </c>
      <c r="D98" s="2292"/>
      <c r="E98" s="2037"/>
      <c r="F98" s="2207"/>
      <c r="G98" s="397"/>
      <c r="H98" s="1518"/>
      <c r="I98" s="646"/>
      <c r="J98" s="567"/>
      <c r="K98" s="1518"/>
      <c r="L98" s="193"/>
      <c r="M98" s="329"/>
      <c r="N98" s="322"/>
      <c r="O98" s="1650"/>
      <c r="P98" s="1650"/>
    </row>
    <row s="1661" customFormat="1" customHeight="1" ht="18.75" hidden="1">
      <c r="A99" s="1806" t="s">
        <v>183</v>
      </c>
      <c r="B99" s="1806" t="s">
        <v>184</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290</v>
      </c>
      <c r="M99" s="329"/>
      <c r="N99" s="322"/>
      <c r="O99" s="1650"/>
      <c r="P99" s="1650"/>
    </row>
    <row s="1661" customFormat="1" customHeight="1" ht="18.75" hidden="1">
      <c r="A100" s="1806"/>
      <c r="B100" s="1806"/>
      <c r="C100" s="361" t="s">
        <v>1041</v>
      </c>
      <c r="D100" s="2292"/>
      <c r="E100" s="2037"/>
      <c r="F100" s="2207"/>
      <c r="G100" s="2253"/>
      <c r="H100" s="1518"/>
      <c r="I100" s="646" t="s">
        <v>1040</v>
      </c>
      <c r="J100" s="567"/>
      <c r="K100" s="1518"/>
      <c r="L100" s="193"/>
      <c r="M100" s="329"/>
      <c r="N100" s="322"/>
      <c r="O100" s="1650"/>
      <c r="P100" s="1650"/>
    </row>
    <row s="1661" customFormat="1" customHeight="1" ht="0.75" hidden="1">
      <c r="A101" s="1806"/>
      <c r="B101" s="1806"/>
      <c r="C101" s="361" t="s">
        <v>1048</v>
      </c>
      <c r="D101" s="2292"/>
      <c r="E101" s="2037"/>
      <c r="F101" s="2207"/>
      <c r="G101" s="397"/>
      <c r="H101" s="1518"/>
      <c r="I101" s="646"/>
      <c r="J101" s="567"/>
      <c r="K101" s="1518"/>
      <c r="L101" s="193"/>
      <c r="M101" s="329"/>
      <c r="N101" s="322"/>
      <c r="O101" s="1650"/>
      <c r="P101" s="1650"/>
    </row>
    <row s="1661" customFormat="1" customHeight="1" ht="18.75" hidden="1">
      <c r="A102" s="1806" t="s">
        <v>189</v>
      </c>
      <c r="B102" s="1806" t="s">
        <v>190</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290</v>
      </c>
      <c r="M102" s="329"/>
      <c r="N102" s="322"/>
      <c r="O102" s="1650"/>
      <c r="P102" s="1650"/>
    </row>
    <row s="1661" customFormat="1" customHeight="1" ht="18.75" hidden="1">
      <c r="A103" s="1806"/>
      <c r="B103" s="1806"/>
      <c r="C103" s="361" t="s">
        <v>1041</v>
      </c>
      <c r="D103" s="2292"/>
      <c r="E103" s="2037"/>
      <c r="F103" s="2207"/>
      <c r="G103" s="2253"/>
      <c r="H103" s="1518"/>
      <c r="I103" s="646" t="s">
        <v>1040</v>
      </c>
      <c r="J103" s="567"/>
      <c r="K103" s="1518"/>
      <c r="L103" s="193"/>
      <c r="M103" s="329"/>
      <c r="N103" s="322"/>
      <c r="O103" s="1650"/>
      <c r="P103" s="1650"/>
    </row>
    <row s="1661" customFormat="1" customHeight="1" ht="0.75" hidden="1">
      <c r="A104" s="1806"/>
      <c r="B104" s="1806"/>
      <c r="C104" s="361" t="s">
        <v>1048</v>
      </c>
      <c r="D104" s="2292"/>
      <c r="E104" s="2037"/>
      <c r="F104" s="2207"/>
      <c r="G104" s="397"/>
      <c r="H104" s="1518"/>
      <c r="I104" s="646"/>
      <c r="J104" s="567"/>
      <c r="K104" s="1518"/>
      <c r="L104" s="193"/>
      <c r="M104" s="329"/>
      <c r="N104" s="322"/>
      <c r="O104" s="1650"/>
      <c r="P104" s="1650"/>
    </row>
    <row s="1661" customFormat="1" customHeight="1" ht="18.75" hidden="1">
      <c r="A105" s="1806" t="s">
        <v>195</v>
      </c>
      <c r="B105" s="1806" t="s">
        <v>196</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290</v>
      </c>
      <c r="M105" s="329"/>
      <c r="N105" s="322"/>
      <c r="O105" s="1650"/>
      <c r="P105" s="1650"/>
    </row>
    <row s="1661" customFormat="1" customHeight="1" ht="18.75" hidden="1">
      <c r="A106" s="1806"/>
      <c r="B106" s="1806"/>
      <c r="C106" s="361" t="s">
        <v>1041</v>
      </c>
      <c r="D106" s="2292"/>
      <c r="E106" s="2037"/>
      <c r="F106" s="2207"/>
      <c r="G106" s="2253"/>
      <c r="H106" s="1518"/>
      <c r="I106" s="646" t="s">
        <v>1040</v>
      </c>
      <c r="J106" s="567"/>
      <c r="K106" s="1518"/>
      <c r="L106" s="193"/>
      <c r="M106" s="329"/>
      <c r="N106" s="322"/>
      <c r="O106" s="1650"/>
      <c r="P106" s="1650"/>
    </row>
    <row s="1661" customFormat="1" customHeight="1" ht="0.75" hidden="1">
      <c r="A107" s="1806"/>
      <c r="B107" s="1806"/>
      <c r="C107" s="361" t="s">
        <v>1048</v>
      </c>
      <c r="D107" s="2292"/>
      <c r="E107" s="2037"/>
      <c r="F107" s="2207"/>
      <c r="G107" s="397"/>
      <c r="H107" s="1518"/>
      <c r="I107" s="646"/>
      <c r="J107" s="567"/>
      <c r="K107" s="1518"/>
      <c r="L107" s="193"/>
      <c r="M107" s="329"/>
      <c r="N107" s="322"/>
      <c r="O107" s="1650"/>
      <c r="P107" s="1650"/>
    </row>
    <row s="1661" customFormat="1" customHeight="1" ht="18.75" hidden="1">
      <c r="A108" s="1806" t="s">
        <v>209</v>
      </c>
      <c r="B108" s="1806" t="s">
        <v>210</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290</v>
      </c>
      <c r="M108" s="329"/>
      <c r="N108" s="322"/>
      <c r="O108" s="1650"/>
      <c r="P108" s="1650"/>
    </row>
    <row s="1661" customFormat="1" customHeight="1" ht="18.75" hidden="1">
      <c r="A109" s="1806"/>
      <c r="B109" s="1806"/>
      <c r="C109" s="361" t="s">
        <v>1041</v>
      </c>
      <c r="D109" s="2292"/>
      <c r="E109" s="2037"/>
      <c r="F109" s="2207"/>
      <c r="G109" s="2253"/>
      <c r="H109" s="1518"/>
      <c r="I109" s="646" t="s">
        <v>1040</v>
      </c>
      <c r="J109" s="567"/>
      <c r="K109" s="1518"/>
      <c r="L109" s="193"/>
      <c r="M109" s="329"/>
      <c r="N109" s="322"/>
      <c r="O109" s="1650"/>
      <c r="P109" s="1650"/>
    </row>
    <row s="1661" customFormat="1" customHeight="1" ht="0.75" hidden="1">
      <c r="A110" s="1806"/>
      <c r="B110" s="1806"/>
      <c r="C110" s="361" t="s">
        <v>1048</v>
      </c>
      <c r="D110" s="2292"/>
      <c r="E110" s="2037"/>
      <c r="F110" s="2207"/>
      <c r="G110" s="397"/>
      <c r="H110" s="1518"/>
      <c r="I110" s="646"/>
      <c r="J110" s="567"/>
      <c r="K110" s="1518"/>
      <c r="L110" s="193"/>
      <c r="M110" s="329"/>
      <c r="N110" s="322"/>
      <c r="O110" s="1650"/>
      <c r="P110" s="1650"/>
    </row>
    <row s="1661" customFormat="1" customHeight="1" ht="18.75" hidden="1">
      <c r="A111" s="1806" t="s">
        <v>214</v>
      </c>
      <c r="B111" s="1806" t="s">
        <v>215</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290</v>
      </c>
      <c r="M111" s="329"/>
      <c r="N111" s="322"/>
      <c r="O111" s="1650"/>
      <c r="P111" s="1650"/>
    </row>
    <row s="1661" customFormat="1" customHeight="1" ht="18.75" hidden="1">
      <c r="A112" s="1806"/>
      <c r="B112" s="1806"/>
      <c r="C112" s="361" t="s">
        <v>1041</v>
      </c>
      <c r="D112" s="2292"/>
      <c r="E112" s="2037"/>
      <c r="F112" s="2207"/>
      <c r="G112" s="2253"/>
      <c r="H112" s="1518"/>
      <c r="I112" s="646" t="s">
        <v>1040</v>
      </c>
      <c r="J112" s="567"/>
      <c r="K112" s="1518"/>
      <c r="L112" s="193"/>
      <c r="M112" s="329"/>
      <c r="N112" s="322"/>
      <c r="O112" s="1650"/>
      <c r="P112" s="1650"/>
    </row>
    <row s="1661" customFormat="1" customHeight="1" ht="0.75" hidden="1">
      <c r="A113" s="1806"/>
      <c r="B113" s="1806"/>
      <c r="C113" s="361" t="s">
        <v>1048</v>
      </c>
      <c r="D113" s="2292"/>
      <c r="E113" s="2037"/>
      <c r="F113" s="2207"/>
      <c r="G113" s="397"/>
      <c r="H113" s="1518"/>
      <c r="I113" s="646"/>
      <c r="J113" s="567"/>
      <c r="K113" s="1518"/>
      <c r="L113" s="193"/>
      <c r="M113" s="329"/>
      <c r="N113" s="322"/>
      <c r="O113" s="1650"/>
      <c r="P113" s="1650"/>
    </row>
    <row s="1661" customFormat="1" customHeight="1" ht="18.75" hidden="1">
      <c r="A114" s="1806" t="s">
        <v>219</v>
      </c>
      <c r="B114" s="1806" t="s">
        <v>220</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290</v>
      </c>
      <c r="M114" s="329"/>
      <c r="N114" s="322"/>
      <c r="O114" s="1650"/>
      <c r="P114" s="1650"/>
    </row>
    <row s="1661" customFormat="1" customHeight="1" ht="18.75" hidden="1">
      <c r="A115" s="1806"/>
      <c r="B115" s="1806"/>
      <c r="C115" s="361" t="s">
        <v>1041</v>
      </c>
      <c r="D115" s="2292"/>
      <c r="E115" s="2037"/>
      <c r="F115" s="2207"/>
      <c r="G115" s="2253"/>
      <c r="H115" s="1518"/>
      <c r="I115" s="646" t="s">
        <v>1040</v>
      </c>
      <c r="J115" s="567"/>
      <c r="K115" s="1518"/>
      <c r="L115" s="193"/>
      <c r="M115" s="329"/>
      <c r="N115" s="322"/>
      <c r="O115" s="1650"/>
      <c r="P115" s="1650"/>
    </row>
    <row s="1661" customFormat="1" customHeight="1" ht="0.75" hidden="1">
      <c r="A116" s="1806"/>
      <c r="B116" s="1806"/>
      <c r="C116" s="361" t="s">
        <v>1048</v>
      </c>
      <c r="D116" s="2292"/>
      <c r="E116" s="2037"/>
      <c r="F116" s="2207"/>
      <c r="G116" s="397"/>
      <c r="H116" s="1518"/>
      <c r="I116" s="646"/>
      <c r="J116" s="567"/>
      <c r="K116" s="1518"/>
      <c r="L116" s="193"/>
      <c r="M116" s="329"/>
      <c r="N116" s="322"/>
      <c r="O116" s="1650"/>
      <c r="P116" s="1650"/>
    </row>
    <row s="1661" customFormat="1" customHeight="1" ht="18.75" hidden="1">
      <c r="A117" s="1806" t="s">
        <v>224</v>
      </c>
      <c r="B117" s="1806" t="s">
        <v>225</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290</v>
      </c>
      <c r="M117" s="329"/>
      <c r="N117" s="322"/>
      <c r="O117" s="1650"/>
      <c r="P117" s="1650"/>
    </row>
    <row s="1661" customFormat="1" customHeight="1" ht="18.75" hidden="1">
      <c r="A118" s="1806"/>
      <c r="B118" s="1806"/>
      <c r="C118" s="361" t="s">
        <v>1041</v>
      </c>
      <c r="D118" s="2292"/>
      <c r="E118" s="2037"/>
      <c r="F118" s="2207"/>
      <c r="G118" s="2253"/>
      <c r="H118" s="1518"/>
      <c r="I118" s="646" t="s">
        <v>1040</v>
      </c>
      <c r="J118" s="567"/>
      <c r="K118" s="1518"/>
      <c r="L118" s="193"/>
      <c r="M118" s="329"/>
      <c r="N118" s="322"/>
      <c r="O118" s="1650"/>
      <c r="P118" s="1650"/>
    </row>
    <row s="1661" customFormat="1" customHeight="1" ht="0.75" hidden="1">
      <c r="A119" s="1806"/>
      <c r="B119" s="1806"/>
      <c r="C119" s="361" t="s">
        <v>1048</v>
      </c>
      <c r="D119" s="2292"/>
      <c r="E119" s="2037"/>
      <c r="F119" s="2207"/>
      <c r="G119" s="397"/>
      <c r="H119" s="1518"/>
      <c r="I119" s="646"/>
      <c r="J119" s="567"/>
      <c r="K119" s="1518"/>
      <c r="L119" s="193"/>
      <c r="M119" s="329"/>
      <c r="N119" s="322"/>
      <c r="O119" s="1650"/>
      <c r="P119" s="1650"/>
    </row>
    <row s="1661" customFormat="1" customHeight="1" ht="18.75" hidden="1">
      <c r="A120" s="1806" t="s">
        <v>229</v>
      </c>
      <c r="B120" s="1806" t="s">
        <v>230</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290</v>
      </c>
      <c r="M120" s="329"/>
      <c r="N120" s="322"/>
      <c r="O120" s="1650"/>
      <c r="P120" s="1650"/>
    </row>
    <row s="1661" customFormat="1" customHeight="1" ht="18.75" hidden="1">
      <c r="A121" s="1806"/>
      <c r="B121" s="1806"/>
      <c r="C121" s="361" t="s">
        <v>1041</v>
      </c>
      <c r="D121" s="2292"/>
      <c r="E121" s="2037"/>
      <c r="F121" s="2207"/>
      <c r="G121" s="2253"/>
      <c r="H121" s="1518"/>
      <c r="I121" s="646" t="s">
        <v>1040</v>
      </c>
      <c r="J121" s="567"/>
      <c r="K121" s="1518"/>
      <c r="L121" s="193"/>
      <c r="M121" s="329"/>
      <c r="N121" s="322"/>
      <c r="O121" s="1650"/>
      <c r="P121" s="1650"/>
    </row>
    <row s="1661" customFormat="1" customHeight="1" ht="0.75" hidden="1">
      <c r="A122" s="1806"/>
      <c r="B122" s="1806"/>
      <c r="C122" s="361" t="s">
        <v>1048</v>
      </c>
      <c r="D122" s="2292"/>
      <c r="E122" s="2037"/>
      <c r="F122" s="2207"/>
      <c r="G122" s="397"/>
      <c r="H122" s="1518"/>
      <c r="I122" s="646"/>
      <c r="J122" s="567"/>
      <c r="K122" s="1518"/>
      <c r="L122" s="193"/>
      <c r="M122" s="329"/>
      <c r="N122" s="322"/>
      <c r="O122" s="1650"/>
      <c r="P122" s="1650"/>
    </row>
    <row s="1661" customFormat="1" customHeight="1" ht="18.75" hidden="1">
      <c r="A123" s="1806" t="s">
        <v>234</v>
      </c>
      <c r="B123" s="1806" t="s">
        <v>235</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290</v>
      </c>
      <c r="M123" s="329"/>
      <c r="N123" s="322"/>
      <c r="O123" s="1650"/>
      <c r="P123" s="1650"/>
    </row>
    <row s="1661" customFormat="1" customHeight="1" ht="18.75" hidden="1">
      <c r="A124" s="1806"/>
      <c r="B124" s="1806"/>
      <c r="C124" s="361" t="s">
        <v>1041</v>
      </c>
      <c r="D124" s="2292"/>
      <c r="E124" s="2037"/>
      <c r="F124" s="2207"/>
      <c r="G124" s="2253"/>
      <c r="H124" s="1518"/>
      <c r="I124" s="646" t="s">
        <v>1040</v>
      </c>
      <c r="J124" s="567"/>
      <c r="K124" s="1518"/>
      <c r="L124" s="193"/>
      <c r="M124" s="329"/>
      <c r="N124" s="322"/>
      <c r="O124" s="1650"/>
      <c r="P124" s="1650"/>
    </row>
    <row s="1661" customFormat="1" customHeight="1" ht="0.75" hidden="1">
      <c r="A125" s="1806"/>
      <c r="B125" s="1806"/>
      <c r="C125" s="361" t="s">
        <v>1048</v>
      </c>
      <c r="D125" s="2292"/>
      <c r="E125" s="2037"/>
      <c r="F125" s="2207"/>
      <c r="G125" s="397"/>
      <c r="H125" s="1518"/>
      <c r="I125" s="646"/>
      <c r="J125" s="567"/>
      <c r="K125" s="1518"/>
      <c r="L125" s="193"/>
      <c r="M125" s="329"/>
      <c r="N125" s="322"/>
      <c r="O125" s="1650"/>
      <c r="P125" s="1650"/>
    </row>
    <row s="1661" customFormat="1" customHeight="1" ht="18.75" hidden="1">
      <c r="A126" s="1806" t="s">
        <v>239</v>
      </c>
      <c r="B126" s="1806" t="s">
        <v>240</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290</v>
      </c>
      <c r="M126" s="329"/>
      <c r="N126" s="322"/>
      <c r="O126" s="1650"/>
      <c r="P126" s="1650"/>
    </row>
    <row s="1661" customFormat="1" customHeight="1" ht="18.75" hidden="1">
      <c r="A127" s="1806"/>
      <c r="B127" s="1806"/>
      <c r="C127" s="361" t="s">
        <v>1041</v>
      </c>
      <c r="D127" s="2292"/>
      <c r="E127" s="2037"/>
      <c r="F127" s="2207"/>
      <c r="G127" s="2253"/>
      <c r="H127" s="1518"/>
      <c r="I127" s="646" t="s">
        <v>1040</v>
      </c>
      <c r="J127" s="567"/>
      <c r="K127" s="1518"/>
      <c r="L127" s="193"/>
      <c r="M127" s="329"/>
      <c r="N127" s="322"/>
      <c r="O127" s="1650"/>
      <c r="P127" s="1650"/>
    </row>
    <row s="1661" customFormat="1" customHeight="1" ht="0.75" hidden="1">
      <c r="A128" s="1806"/>
      <c r="B128" s="1806"/>
      <c r="C128" s="361" t="s">
        <v>1048</v>
      </c>
      <c r="D128" s="2292"/>
      <c r="E128" s="2037"/>
      <c r="F128" s="2207"/>
      <c r="G128" s="397"/>
      <c r="H128" s="1518"/>
      <c r="I128" s="646"/>
      <c r="J128" s="567"/>
      <c r="K128" s="1518"/>
      <c r="L128" s="193"/>
      <c r="M128" s="329"/>
      <c r="N128" s="322"/>
      <c r="O128" s="1650"/>
      <c r="P128" s="1650"/>
    </row>
    <row s="1661" customFormat="1" customHeight="1" ht="18.75" hidden="1">
      <c r="A129" s="1806" t="s">
        <v>244</v>
      </c>
      <c r="B129" s="1806" t="s">
        <v>245</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290</v>
      </c>
      <c r="M129" s="329"/>
      <c r="N129" s="322"/>
      <c r="O129" s="1650"/>
      <c r="P129" s="1650"/>
    </row>
    <row s="1661" customFormat="1" customHeight="1" ht="18.75" hidden="1">
      <c r="A130" s="1806"/>
      <c r="B130" s="1806"/>
      <c r="C130" s="361" t="s">
        <v>1041</v>
      </c>
      <c r="D130" s="2292"/>
      <c r="E130" s="2037"/>
      <c r="F130" s="2207"/>
      <c r="G130" s="2253"/>
      <c r="H130" s="1518"/>
      <c r="I130" s="646" t="s">
        <v>1040</v>
      </c>
      <c r="J130" s="567"/>
      <c r="K130" s="1518"/>
      <c r="L130" s="193"/>
      <c r="M130" s="329"/>
      <c r="N130" s="322"/>
      <c r="O130" s="1650"/>
      <c r="P130" s="1650"/>
    </row>
    <row s="1661" customFormat="1" customHeight="1" ht="0.75" hidden="1">
      <c r="A131" s="1806"/>
      <c r="B131" s="1806"/>
      <c r="C131" s="361" t="s">
        <v>1048</v>
      </c>
      <c r="D131" s="2292"/>
      <c r="E131" s="2037"/>
      <c r="F131" s="2207"/>
      <c r="G131" s="397"/>
      <c r="H131" s="1518"/>
      <c r="I131" s="646"/>
      <c r="J131" s="567"/>
      <c r="K131" s="1518"/>
      <c r="L131" s="193"/>
      <c r="M131" s="329"/>
      <c r="N131" s="322"/>
      <c r="O131" s="1650"/>
      <c r="P131" s="1650"/>
    </row>
    <row s="1661" customFormat="1" customHeight="1" ht="18.75" hidden="1">
      <c r="A132" s="1806" t="s">
        <v>249</v>
      </c>
      <c r="B132" s="1806" t="s">
        <v>250</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290</v>
      </c>
      <c r="M132" s="329"/>
      <c r="N132" s="322"/>
      <c r="O132" s="1650"/>
      <c r="P132" s="1650"/>
    </row>
    <row s="1661" customFormat="1" customHeight="1" ht="18.75" hidden="1">
      <c r="A133" s="1806"/>
      <c r="B133" s="1806"/>
      <c r="C133" s="361" t="s">
        <v>1041</v>
      </c>
      <c r="D133" s="2292"/>
      <c r="E133" s="2037"/>
      <c r="F133" s="2207"/>
      <c r="G133" s="2253"/>
      <c r="H133" s="1518"/>
      <c r="I133" s="646" t="s">
        <v>1040</v>
      </c>
      <c r="J133" s="567"/>
      <c r="K133" s="1518"/>
      <c r="L133" s="193"/>
      <c r="M133" s="329"/>
      <c r="N133" s="322"/>
      <c r="O133" s="1650"/>
      <c r="P133" s="1650"/>
    </row>
    <row s="1661" customFormat="1" customHeight="1" ht="0.75" hidden="1">
      <c r="A134" s="1806"/>
      <c r="B134" s="1806"/>
      <c r="C134" s="361" t="s">
        <v>1048</v>
      </c>
      <c r="D134" s="2292"/>
      <c r="E134" s="2037"/>
      <c r="F134" s="2207"/>
      <c r="G134" s="397"/>
      <c r="H134" s="1518"/>
      <c r="I134" s="646"/>
      <c r="J134" s="567"/>
      <c r="K134" s="1518"/>
      <c r="L134" s="193"/>
      <c r="M134" s="329"/>
      <c r="N134" s="322"/>
      <c r="O134" s="1650"/>
      <c r="P134" s="1650"/>
    </row>
    <row s="1661" customFormat="1" customHeight="1" ht="18.75" hidden="1">
      <c r="A135" s="1806" t="s">
        <v>254</v>
      </c>
      <c r="B135" s="1806" t="s">
        <v>255</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290</v>
      </c>
      <c r="M135" s="329"/>
      <c r="N135" s="322"/>
      <c r="O135" s="1650"/>
      <c r="P135" s="1650"/>
    </row>
    <row s="1661" customFormat="1" customHeight="1" ht="18.75" hidden="1">
      <c r="A136" s="1806"/>
      <c r="B136" s="1806"/>
      <c r="C136" s="361" t="s">
        <v>1041</v>
      </c>
      <c r="D136" s="2292"/>
      <c r="E136" s="2037"/>
      <c r="F136" s="2207"/>
      <c r="G136" s="2253"/>
      <c r="H136" s="1518"/>
      <c r="I136" s="646" t="s">
        <v>1040</v>
      </c>
      <c r="J136" s="567"/>
      <c r="K136" s="1518"/>
      <c r="L136" s="193"/>
      <c r="M136" s="329"/>
      <c r="N136" s="322"/>
      <c r="O136" s="1650"/>
      <c r="P136" s="1650"/>
    </row>
    <row s="1661" customFormat="1" customHeight="1" ht="0.75" hidden="1">
      <c r="A137" s="1806"/>
      <c r="B137" s="1806"/>
      <c r="C137" s="361" t="s">
        <v>1048</v>
      </c>
      <c r="D137" s="2292"/>
      <c r="E137" s="2037"/>
      <c r="F137" s="2207"/>
      <c r="G137" s="397"/>
      <c r="H137" s="1518"/>
      <c r="I137" s="646"/>
      <c r="J137" s="567"/>
      <c r="K137" s="1518"/>
      <c r="L137" s="193"/>
      <c r="M137" s="329"/>
      <c r="N137" s="322"/>
      <c r="O137" s="1650"/>
      <c r="P137" s="1650"/>
    </row>
    <row s="1661" customFormat="1" customHeight="1" ht="18.75" hidden="1">
      <c r="A138" s="1806" t="s">
        <v>259</v>
      </c>
      <c r="B138" s="1806" t="s">
        <v>260</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290</v>
      </c>
      <c r="M138" s="329"/>
      <c r="N138" s="322"/>
      <c r="O138" s="1650"/>
      <c r="P138" s="1650"/>
    </row>
    <row s="1661" customFormat="1" customHeight="1" ht="18.75" hidden="1">
      <c r="A139" s="1806"/>
      <c r="B139" s="1806"/>
      <c r="C139" s="361" t="s">
        <v>1041</v>
      </c>
      <c r="D139" s="2292"/>
      <c r="E139" s="2037"/>
      <c r="F139" s="2207"/>
      <c r="G139" s="2253"/>
      <c r="H139" s="1518"/>
      <c r="I139" s="646" t="s">
        <v>1040</v>
      </c>
      <c r="J139" s="567"/>
      <c r="K139" s="1518"/>
      <c r="L139" s="193"/>
      <c r="M139" s="329"/>
      <c r="N139" s="322"/>
      <c r="O139" s="1650"/>
      <c r="P139" s="1650"/>
    </row>
    <row s="1661" customFormat="1" customHeight="1" ht="0.75">
      <c r="A140" s="1806"/>
      <c r="B140" s="1806"/>
      <c r="C140" s="361" t="s">
        <v>1048</v>
      </c>
      <c r="D140" s="2292"/>
      <c r="E140" s="2037"/>
      <c r="F140" s="2207"/>
      <c r="G140" s="397"/>
      <c r="H140" s="1518"/>
      <c r="I140" s="646"/>
      <c r="J140" s="567"/>
      <c r="K140" s="1518"/>
      <c r="L140" s="193"/>
      <c r="M140" s="329"/>
      <c r="N140" s="322"/>
      <c r="O140" s="1650"/>
      <c r="P140" s="1650"/>
    </row>
    <row customHeight="1" ht="18.75">
      <c r="A141" s="1806"/>
      <c r="B141" s="1806"/>
      <c r="D141" s="368"/>
      <c r="E141" s="127" t="s">
        <v>87</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284"/>
      <c r="H141" s="2284"/>
      <c r="I141" s="2284"/>
      <c r="J141" s="2284"/>
      <c r="K141" s="2284"/>
      <c r="L141" s="2284"/>
      <c r="M141" s="277"/>
      <c r="N141" s="322"/>
    </row>
    <row s="1661" customFormat="1" customHeight="1" ht="60.75" hidden="1">
      <c r="A142" s="1806" t="s">
        <v>153</v>
      </c>
      <c r="B142" s="1806" t="s">
        <v>154</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290</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1041</v>
      </c>
      <c r="D143" s="2292"/>
      <c r="E143" s="2037"/>
      <c r="F143" s="2207"/>
      <c r="G143" s="2253"/>
      <c r="H143" s="1518"/>
      <c r="I143" s="646" t="s">
        <v>1040</v>
      </c>
      <c r="J143" s="567"/>
      <c r="K143" s="1518"/>
      <c r="L143" s="193"/>
      <c r="M143" s="1997"/>
      <c r="N143" s="322"/>
      <c r="O143" s="1650"/>
      <c r="P143" s="1650"/>
    </row>
    <row s="1661" customFormat="1" customHeight="1" ht="0.75" hidden="1">
      <c r="A144" s="1806"/>
      <c r="B144" s="1806"/>
      <c r="C144" s="361" t="s">
        <v>1048</v>
      </c>
      <c r="D144" s="2292"/>
      <c r="E144" s="2037"/>
      <c r="F144" s="2207"/>
      <c r="G144" s="397"/>
      <c r="H144" s="1518"/>
      <c r="I144" s="646"/>
      <c r="J144" s="567"/>
      <c r="K144" s="1518"/>
      <c r="L144" s="193"/>
      <c r="M144" s="1997"/>
      <c r="N144" s="322"/>
      <c r="O144" s="1650"/>
      <c r="P144" s="1650"/>
    </row>
    <row s="1661" customFormat="1" customHeight="1" ht="45" hidden="1">
      <c r="A145" s="1806" t="s">
        <v>159</v>
      </c>
      <c r="B145" s="1806" t="s">
        <v>160</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290</v>
      </c>
      <c r="M145" s="1998"/>
      <c r="N145" s="322"/>
      <c r="O145" s="1650"/>
      <c r="P145" s="1650"/>
    </row>
    <row s="1661" customFormat="1" customHeight="1" ht="18.75" hidden="1">
      <c r="A146" s="1806"/>
      <c r="B146" s="1806"/>
      <c r="C146" s="361" t="s">
        <v>1041</v>
      </c>
      <c r="D146" s="2292"/>
      <c r="E146" s="2037"/>
      <c r="F146" s="2207"/>
      <c r="G146" s="2253"/>
      <c r="H146" s="1518"/>
      <c r="I146" s="646" t="s">
        <v>1040</v>
      </c>
      <c r="J146" s="567"/>
      <c r="K146" s="1518"/>
      <c r="L146" s="193"/>
      <c r="M146" s="1887"/>
      <c r="N146" s="322"/>
      <c r="O146" s="1650"/>
      <c r="P146" s="1650"/>
    </row>
    <row s="1661" customFormat="1" customHeight="1" ht="0.75" hidden="1">
      <c r="A147" s="1806"/>
      <c r="B147" s="1806"/>
      <c r="C147" s="361" t="s">
        <v>1048</v>
      </c>
      <c r="D147" s="2292"/>
      <c r="E147" s="2037"/>
      <c r="F147" s="2207"/>
      <c r="G147" s="397"/>
      <c r="H147" s="1518"/>
      <c r="I147" s="646"/>
      <c r="J147" s="567"/>
      <c r="K147" s="1518"/>
      <c r="L147" s="193"/>
      <c r="M147" s="329"/>
      <c r="N147" s="322"/>
      <c r="O147" s="1650"/>
      <c r="P147" s="1650"/>
    </row>
    <row s="1661" customFormat="1" customHeight="1" ht="45" hidden="1">
      <c r="A148" s="1806" t="s">
        <v>165</v>
      </c>
      <c r="B148" s="1806" t="s">
        <v>166</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290</v>
      </c>
      <c r="M148" s="329"/>
      <c r="N148" s="322"/>
      <c r="O148" s="1650"/>
      <c r="P148" s="1650"/>
    </row>
    <row s="1661" customFormat="1" customHeight="1" ht="18.75" hidden="1">
      <c r="A149" s="1806"/>
      <c r="B149" s="1806"/>
      <c r="C149" s="361" t="s">
        <v>1041</v>
      </c>
      <c r="D149" s="2292"/>
      <c r="E149" s="2037"/>
      <c r="F149" s="2207"/>
      <c r="G149" s="2253"/>
      <c r="H149" s="1518"/>
      <c r="I149" s="646" t="s">
        <v>1040</v>
      </c>
      <c r="J149" s="567"/>
      <c r="K149" s="1518"/>
      <c r="L149" s="193"/>
      <c r="M149" s="329"/>
      <c r="N149" s="322"/>
      <c r="O149" s="1650"/>
      <c r="P149" s="1650"/>
    </row>
    <row s="1661" customFormat="1" customHeight="1" ht="0.75" hidden="1">
      <c r="A150" s="1806"/>
      <c r="B150" s="1806"/>
      <c r="C150" s="361" t="s">
        <v>1048</v>
      </c>
      <c r="D150" s="2292"/>
      <c r="E150" s="2037"/>
      <c r="F150" s="2207"/>
      <c r="G150" s="397"/>
      <c r="H150" s="1518"/>
      <c r="I150" s="646"/>
      <c r="J150" s="567"/>
      <c r="K150" s="1518"/>
      <c r="L150" s="193"/>
      <c r="M150" s="329"/>
      <c r="N150" s="322"/>
      <c r="O150" s="1650"/>
      <c r="P150" s="1650"/>
    </row>
    <row s="1661" customFormat="1" customHeight="1" ht="45" hidden="1">
      <c r="A151" s="1806" t="s">
        <v>171</v>
      </c>
      <c r="B151" s="1806" t="s">
        <v>172</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290</v>
      </c>
      <c r="M151" s="329"/>
      <c r="N151" s="322"/>
      <c r="O151" s="1650"/>
      <c r="P151" s="1650"/>
    </row>
    <row s="1661" customFormat="1" customHeight="1" ht="18.75" hidden="1">
      <c r="A152" s="1806"/>
      <c r="B152" s="1806"/>
      <c r="C152" s="361" t="s">
        <v>1041</v>
      </c>
      <c r="D152" s="2292"/>
      <c r="E152" s="2037"/>
      <c r="F152" s="2207"/>
      <c r="G152" s="2253"/>
      <c r="H152" s="1518"/>
      <c r="I152" s="646" t="s">
        <v>1040</v>
      </c>
      <c r="J152" s="567"/>
      <c r="K152" s="1518"/>
      <c r="L152" s="193"/>
      <c r="M152" s="329"/>
      <c r="N152" s="322"/>
      <c r="O152" s="1650"/>
      <c r="P152" s="1650"/>
    </row>
    <row s="1661" customFormat="1" customHeight="1" ht="0.75" hidden="1">
      <c r="A153" s="1806"/>
      <c r="B153" s="1806"/>
      <c r="C153" s="361" t="s">
        <v>1048</v>
      </c>
      <c r="D153" s="2292"/>
      <c r="E153" s="2037"/>
      <c r="F153" s="2207"/>
      <c r="G153" s="397"/>
      <c r="H153" s="1518"/>
      <c r="I153" s="646"/>
      <c r="J153" s="567"/>
      <c r="K153" s="1518"/>
      <c r="L153" s="193"/>
      <c r="M153" s="329"/>
      <c r="N153" s="322"/>
      <c r="O153" s="1650"/>
      <c r="P153" s="1650"/>
    </row>
    <row s="1661" customFormat="1" customHeight="1" ht="18.75" hidden="1">
      <c r="A154" s="1806" t="s">
        <v>177</v>
      </c>
      <c r="B154" s="1806" t="s">
        <v>178</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290</v>
      </c>
      <c r="M154" s="329"/>
      <c r="N154" s="322"/>
      <c r="O154" s="1650"/>
      <c r="P154" s="1650"/>
    </row>
    <row s="1661" customFormat="1" customHeight="1" ht="18.75" hidden="1">
      <c r="A155" s="1806"/>
      <c r="B155" s="1806"/>
      <c r="C155" s="361" t="s">
        <v>1041</v>
      </c>
      <c r="D155" s="2292"/>
      <c r="E155" s="2037"/>
      <c r="F155" s="2207"/>
      <c r="G155" s="2253"/>
      <c r="H155" s="1518"/>
      <c r="I155" s="646" t="s">
        <v>1040</v>
      </c>
      <c r="J155" s="567"/>
      <c r="K155" s="1518"/>
      <c r="L155" s="193"/>
      <c r="M155" s="329"/>
      <c r="N155" s="322"/>
      <c r="O155" s="1650"/>
      <c r="P155" s="1650"/>
    </row>
    <row s="1661" customFormat="1" customHeight="1" ht="0.75" hidden="1">
      <c r="A156" s="1806"/>
      <c r="B156" s="1806"/>
      <c r="C156" s="361" t="s">
        <v>1048</v>
      </c>
      <c r="D156" s="2292"/>
      <c r="E156" s="2037"/>
      <c r="F156" s="2207"/>
      <c r="G156" s="397"/>
      <c r="H156" s="1518"/>
      <c r="I156" s="646"/>
      <c r="J156" s="567"/>
      <c r="K156" s="1518"/>
      <c r="L156" s="193"/>
      <c r="M156" s="329"/>
      <c r="N156" s="322"/>
      <c r="O156" s="1650"/>
      <c r="P156" s="1650"/>
    </row>
    <row s="1661" customFormat="1" customHeight="1" ht="18.75" hidden="1">
      <c r="A157" s="1806" t="s">
        <v>183</v>
      </c>
      <c r="B157" s="1806" t="s">
        <v>184</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290</v>
      </c>
      <c r="M157" s="329"/>
      <c r="N157" s="322"/>
      <c r="O157" s="1650"/>
      <c r="P157" s="1650"/>
    </row>
    <row s="1661" customFormat="1" customHeight="1" ht="18.75" hidden="1">
      <c r="A158" s="1806"/>
      <c r="B158" s="1806"/>
      <c r="C158" s="361" t="s">
        <v>1041</v>
      </c>
      <c r="D158" s="2292"/>
      <c r="E158" s="2037"/>
      <c r="F158" s="2207"/>
      <c r="G158" s="2253"/>
      <c r="H158" s="1518"/>
      <c r="I158" s="646" t="s">
        <v>1040</v>
      </c>
      <c r="J158" s="567"/>
      <c r="K158" s="1518"/>
      <c r="L158" s="193"/>
      <c r="M158" s="329"/>
      <c r="N158" s="322"/>
      <c r="O158" s="1650"/>
      <c r="P158" s="1650"/>
    </row>
    <row s="1661" customFormat="1" customHeight="1" ht="0.75" hidden="1">
      <c r="A159" s="1806"/>
      <c r="B159" s="1806"/>
      <c r="C159" s="361" t="s">
        <v>1048</v>
      </c>
      <c r="D159" s="2292"/>
      <c r="E159" s="2037"/>
      <c r="F159" s="2207"/>
      <c r="G159" s="397"/>
      <c r="H159" s="1518"/>
      <c r="I159" s="646"/>
      <c r="J159" s="567"/>
      <c r="K159" s="1518"/>
      <c r="L159" s="193"/>
      <c r="M159" s="329"/>
      <c r="N159" s="322"/>
      <c r="O159" s="1650"/>
      <c r="P159" s="1650"/>
    </row>
    <row s="1661" customFormat="1" customHeight="1" ht="18.75" hidden="1">
      <c r="A160" s="1806" t="s">
        <v>189</v>
      </c>
      <c r="B160" s="1806" t="s">
        <v>190</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290</v>
      </c>
      <c r="M160" s="329"/>
      <c r="N160" s="322"/>
      <c r="O160" s="1650"/>
      <c r="P160" s="1650"/>
    </row>
    <row s="1661" customFormat="1" customHeight="1" ht="18.75" hidden="1">
      <c r="A161" s="1806"/>
      <c r="B161" s="1806"/>
      <c r="C161" s="361" t="s">
        <v>1041</v>
      </c>
      <c r="D161" s="2292"/>
      <c r="E161" s="2037"/>
      <c r="F161" s="2207"/>
      <c r="G161" s="2253"/>
      <c r="H161" s="1518"/>
      <c r="I161" s="646" t="s">
        <v>1040</v>
      </c>
      <c r="J161" s="567"/>
      <c r="K161" s="1518"/>
      <c r="L161" s="193"/>
      <c r="M161" s="329"/>
      <c r="N161" s="322"/>
      <c r="O161" s="1650"/>
      <c r="P161" s="1650"/>
    </row>
    <row s="1661" customFormat="1" customHeight="1" ht="0.75" hidden="1">
      <c r="A162" s="1806"/>
      <c r="B162" s="1806"/>
      <c r="C162" s="361" t="s">
        <v>1048</v>
      </c>
      <c r="D162" s="2292"/>
      <c r="E162" s="2037"/>
      <c r="F162" s="2207"/>
      <c r="G162" s="397"/>
      <c r="H162" s="1518"/>
      <c r="I162" s="646"/>
      <c r="J162" s="567"/>
      <c r="K162" s="1518"/>
      <c r="L162" s="193"/>
      <c r="M162" s="329"/>
      <c r="N162" s="322"/>
      <c r="O162" s="1650"/>
      <c r="P162" s="1650"/>
    </row>
    <row s="1661" customFormat="1" customHeight="1" ht="18.75" hidden="1">
      <c r="A163" s="1806" t="s">
        <v>195</v>
      </c>
      <c r="B163" s="1806" t="s">
        <v>196</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290</v>
      </c>
      <c r="M163" s="329"/>
      <c r="N163" s="322"/>
      <c r="O163" s="1650"/>
      <c r="P163" s="1650"/>
    </row>
    <row s="1661" customFormat="1" customHeight="1" ht="18.75" hidden="1">
      <c r="A164" s="1806"/>
      <c r="B164" s="1806"/>
      <c r="C164" s="361" t="s">
        <v>1041</v>
      </c>
      <c r="D164" s="2292"/>
      <c r="E164" s="2037"/>
      <c r="F164" s="2207"/>
      <c r="G164" s="2253"/>
      <c r="H164" s="1518"/>
      <c r="I164" s="646" t="s">
        <v>1040</v>
      </c>
      <c r="J164" s="567"/>
      <c r="K164" s="1518"/>
      <c r="L164" s="193"/>
      <c r="M164" s="329"/>
      <c r="N164" s="322"/>
      <c r="O164" s="1650"/>
      <c r="P164" s="1650"/>
    </row>
    <row s="1661" customFormat="1" customHeight="1" ht="0.75" hidden="1">
      <c r="A165" s="1806"/>
      <c r="B165" s="1806"/>
      <c r="C165" s="361" t="s">
        <v>1048</v>
      </c>
      <c r="D165" s="2292"/>
      <c r="E165" s="2037"/>
      <c r="F165" s="2207"/>
      <c r="G165" s="397"/>
      <c r="H165" s="1518"/>
      <c r="I165" s="646"/>
      <c r="J165" s="567"/>
      <c r="K165" s="1518"/>
      <c r="L165" s="193"/>
      <c r="M165" s="329"/>
      <c r="N165" s="322"/>
      <c r="O165" s="1650"/>
      <c r="P165" s="1650"/>
    </row>
    <row s="1661" customFormat="1" customHeight="1" ht="18.75" hidden="1">
      <c r="A166" s="1806" t="s">
        <v>209</v>
      </c>
      <c r="B166" s="1806" t="s">
        <v>210</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290</v>
      </c>
      <c r="M166" s="329"/>
      <c r="N166" s="322"/>
      <c r="O166" s="1650"/>
      <c r="P166" s="1650"/>
    </row>
    <row s="1661" customFormat="1" customHeight="1" ht="18.75" hidden="1">
      <c r="A167" s="1806"/>
      <c r="B167" s="1806"/>
      <c r="C167" s="361" t="s">
        <v>1041</v>
      </c>
      <c r="D167" s="2292"/>
      <c r="E167" s="2037"/>
      <c r="F167" s="2207"/>
      <c r="G167" s="2253"/>
      <c r="H167" s="1518"/>
      <c r="I167" s="646" t="s">
        <v>1040</v>
      </c>
      <c r="J167" s="567"/>
      <c r="K167" s="1518"/>
      <c r="L167" s="193"/>
      <c r="M167" s="329"/>
      <c r="N167" s="322"/>
      <c r="O167" s="1650"/>
      <c r="P167" s="1650"/>
    </row>
    <row s="1661" customFormat="1" customHeight="1" ht="0.75" hidden="1">
      <c r="A168" s="1806"/>
      <c r="B168" s="1806"/>
      <c r="C168" s="361" t="s">
        <v>1048</v>
      </c>
      <c r="D168" s="2292"/>
      <c r="E168" s="2037"/>
      <c r="F168" s="2207"/>
      <c r="G168" s="397"/>
      <c r="H168" s="1518"/>
      <c r="I168" s="646"/>
      <c r="J168" s="567"/>
      <c r="K168" s="1518"/>
      <c r="L168" s="193"/>
      <c r="M168" s="329"/>
      <c r="N168" s="322"/>
      <c r="O168" s="1650"/>
      <c r="P168" s="1650"/>
    </row>
    <row s="1661" customFormat="1" customHeight="1" ht="18.75" hidden="1">
      <c r="A169" s="1806" t="s">
        <v>214</v>
      </c>
      <c r="B169" s="1806" t="s">
        <v>215</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290</v>
      </c>
      <c r="M169" s="329"/>
      <c r="N169" s="322"/>
      <c r="O169" s="1650"/>
      <c r="P169" s="1650"/>
    </row>
    <row s="1661" customFormat="1" customHeight="1" ht="18.75" hidden="1">
      <c r="A170" s="1806"/>
      <c r="B170" s="1806"/>
      <c r="C170" s="361" t="s">
        <v>1041</v>
      </c>
      <c r="D170" s="2292"/>
      <c r="E170" s="2037"/>
      <c r="F170" s="2207"/>
      <c r="G170" s="2253"/>
      <c r="H170" s="1518"/>
      <c r="I170" s="646" t="s">
        <v>1040</v>
      </c>
      <c r="J170" s="567"/>
      <c r="K170" s="1518"/>
      <c r="L170" s="193"/>
      <c r="M170" s="329"/>
      <c r="N170" s="322"/>
      <c r="O170" s="1650"/>
      <c r="P170" s="1650"/>
    </row>
    <row s="1661" customFormat="1" customHeight="1" ht="0.75" hidden="1">
      <c r="A171" s="1806"/>
      <c r="B171" s="1806"/>
      <c r="C171" s="361" t="s">
        <v>1048</v>
      </c>
      <c r="D171" s="2292"/>
      <c r="E171" s="2037"/>
      <c r="F171" s="2207"/>
      <c r="G171" s="397"/>
      <c r="H171" s="1518"/>
      <c r="I171" s="646"/>
      <c r="J171" s="567"/>
      <c r="K171" s="1518"/>
      <c r="L171" s="193"/>
      <c r="M171" s="329"/>
      <c r="N171" s="322"/>
      <c r="O171" s="1650"/>
      <c r="P171" s="1650"/>
    </row>
    <row s="1661" customFormat="1" customHeight="1" ht="18.75" hidden="1">
      <c r="A172" s="1806" t="s">
        <v>219</v>
      </c>
      <c r="B172" s="1806" t="s">
        <v>220</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290</v>
      </c>
      <c r="M172" s="329"/>
      <c r="N172" s="322"/>
      <c r="O172" s="1650"/>
      <c r="P172" s="1650"/>
    </row>
    <row s="1661" customFormat="1" customHeight="1" ht="18.75" hidden="1">
      <c r="A173" s="1806"/>
      <c r="B173" s="1806"/>
      <c r="C173" s="361" t="s">
        <v>1041</v>
      </c>
      <c r="D173" s="2292"/>
      <c r="E173" s="2037"/>
      <c r="F173" s="2207"/>
      <c r="G173" s="2253"/>
      <c r="H173" s="1518"/>
      <c r="I173" s="646" t="s">
        <v>1040</v>
      </c>
      <c r="J173" s="567"/>
      <c r="K173" s="1518"/>
      <c r="L173" s="193"/>
      <c r="M173" s="329"/>
      <c r="N173" s="322"/>
      <c r="O173" s="1650"/>
      <c r="P173" s="1650"/>
    </row>
    <row s="1661" customFormat="1" customHeight="1" ht="0.75" hidden="1">
      <c r="A174" s="1806"/>
      <c r="B174" s="1806"/>
      <c r="C174" s="361" t="s">
        <v>1048</v>
      </c>
      <c r="D174" s="2292"/>
      <c r="E174" s="2037"/>
      <c r="F174" s="2207"/>
      <c r="G174" s="397"/>
      <c r="H174" s="1518"/>
      <c r="I174" s="646"/>
      <c r="J174" s="567"/>
      <c r="K174" s="1518"/>
      <c r="L174" s="193"/>
      <c r="M174" s="329"/>
      <c r="N174" s="322"/>
      <c r="O174" s="1650"/>
      <c r="P174" s="1650"/>
    </row>
    <row s="1661" customFormat="1" customHeight="1" ht="18.75" hidden="1">
      <c r="A175" s="1806" t="s">
        <v>224</v>
      </c>
      <c r="B175" s="1806" t="s">
        <v>225</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290</v>
      </c>
      <c r="M175" s="329"/>
      <c r="N175" s="322"/>
      <c r="O175" s="1650"/>
      <c r="P175" s="1650"/>
    </row>
    <row s="1661" customFormat="1" customHeight="1" ht="18.75" hidden="1">
      <c r="A176" s="1806"/>
      <c r="B176" s="1806"/>
      <c r="C176" s="361" t="s">
        <v>1041</v>
      </c>
      <c r="D176" s="2292"/>
      <c r="E176" s="2037"/>
      <c r="F176" s="2207"/>
      <c r="G176" s="2253"/>
      <c r="H176" s="1518"/>
      <c r="I176" s="646" t="s">
        <v>1040</v>
      </c>
      <c r="J176" s="567"/>
      <c r="K176" s="1518"/>
      <c r="L176" s="193"/>
      <c r="M176" s="329"/>
      <c r="N176" s="322"/>
      <c r="O176" s="1650"/>
      <c r="P176" s="1650"/>
    </row>
    <row s="1661" customFormat="1" customHeight="1" ht="0.75" hidden="1">
      <c r="A177" s="1806"/>
      <c r="B177" s="1806"/>
      <c r="C177" s="361" t="s">
        <v>1048</v>
      </c>
      <c r="D177" s="2292"/>
      <c r="E177" s="2037"/>
      <c r="F177" s="2207"/>
      <c r="G177" s="397"/>
      <c r="H177" s="1518"/>
      <c r="I177" s="646"/>
      <c r="J177" s="567"/>
      <c r="K177" s="1518"/>
      <c r="L177" s="193"/>
      <c r="M177" s="329"/>
      <c r="N177" s="322"/>
      <c r="O177" s="1650"/>
      <c r="P177" s="1650"/>
    </row>
    <row s="1661" customFormat="1" customHeight="1" ht="18.75" hidden="1">
      <c r="A178" s="1806" t="s">
        <v>229</v>
      </c>
      <c r="B178" s="1806" t="s">
        <v>230</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290</v>
      </c>
      <c r="M178" s="329"/>
      <c r="N178" s="322"/>
      <c r="O178" s="1650"/>
      <c r="P178" s="1650"/>
    </row>
    <row s="1661" customFormat="1" customHeight="1" ht="18.75" hidden="1">
      <c r="A179" s="1806"/>
      <c r="B179" s="1806"/>
      <c r="C179" s="361" t="s">
        <v>1041</v>
      </c>
      <c r="D179" s="2292"/>
      <c r="E179" s="2037"/>
      <c r="F179" s="2207"/>
      <c r="G179" s="2253"/>
      <c r="H179" s="1518"/>
      <c r="I179" s="646" t="s">
        <v>1040</v>
      </c>
      <c r="J179" s="567"/>
      <c r="K179" s="1518"/>
      <c r="L179" s="193"/>
      <c r="M179" s="329"/>
      <c r="N179" s="322"/>
      <c r="O179" s="1650"/>
      <c r="P179" s="1650"/>
    </row>
    <row s="1661" customFormat="1" customHeight="1" ht="0.75" hidden="1">
      <c r="A180" s="1806"/>
      <c r="B180" s="1806"/>
      <c r="C180" s="361" t="s">
        <v>1048</v>
      </c>
      <c r="D180" s="2292"/>
      <c r="E180" s="2037"/>
      <c r="F180" s="2207"/>
      <c r="G180" s="397"/>
      <c r="H180" s="1518"/>
      <c r="I180" s="646"/>
      <c r="J180" s="567"/>
      <c r="K180" s="1518"/>
      <c r="L180" s="193"/>
      <c r="M180" s="329"/>
      <c r="N180" s="322"/>
      <c r="O180" s="1650"/>
      <c r="P180" s="1650"/>
    </row>
    <row s="1661" customFormat="1" customHeight="1" ht="18.75" hidden="1">
      <c r="A181" s="1806" t="s">
        <v>234</v>
      </c>
      <c r="B181" s="1806" t="s">
        <v>235</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290</v>
      </c>
      <c r="M181" s="329"/>
      <c r="N181" s="322"/>
      <c r="O181" s="1650"/>
      <c r="P181" s="1650"/>
    </row>
    <row s="1661" customFormat="1" customHeight="1" ht="18.75" hidden="1">
      <c r="A182" s="1806"/>
      <c r="B182" s="1806"/>
      <c r="C182" s="361" t="s">
        <v>1041</v>
      </c>
      <c r="D182" s="2292"/>
      <c r="E182" s="2037"/>
      <c r="F182" s="2207"/>
      <c r="G182" s="2253"/>
      <c r="H182" s="1518"/>
      <c r="I182" s="646" t="s">
        <v>1040</v>
      </c>
      <c r="J182" s="567"/>
      <c r="K182" s="1518"/>
      <c r="L182" s="193"/>
      <c r="M182" s="329"/>
      <c r="N182" s="322"/>
      <c r="O182" s="1650"/>
      <c r="P182" s="1650"/>
    </row>
    <row s="1661" customFormat="1" customHeight="1" ht="0.75" hidden="1">
      <c r="A183" s="1806"/>
      <c r="B183" s="1806"/>
      <c r="C183" s="361" t="s">
        <v>1048</v>
      </c>
      <c r="D183" s="2292"/>
      <c r="E183" s="2037"/>
      <c r="F183" s="2207"/>
      <c r="G183" s="397"/>
      <c r="H183" s="1518"/>
      <c r="I183" s="646"/>
      <c r="J183" s="567"/>
      <c r="K183" s="1518"/>
      <c r="L183" s="193"/>
      <c r="M183" s="329"/>
      <c r="N183" s="322"/>
      <c r="O183" s="1650"/>
      <c r="P183" s="1650"/>
    </row>
    <row s="1661" customFormat="1" customHeight="1" ht="18.75" hidden="1">
      <c r="A184" s="1806" t="s">
        <v>239</v>
      </c>
      <c r="B184" s="1806" t="s">
        <v>240</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290</v>
      </c>
      <c r="M184" s="329"/>
      <c r="N184" s="322"/>
      <c r="O184" s="1650"/>
      <c r="P184" s="1650"/>
    </row>
    <row s="1661" customFormat="1" customHeight="1" ht="18.75" hidden="1">
      <c r="A185" s="1806"/>
      <c r="B185" s="1806"/>
      <c r="C185" s="361" t="s">
        <v>1041</v>
      </c>
      <c r="D185" s="2292"/>
      <c r="E185" s="2037"/>
      <c r="F185" s="2207"/>
      <c r="G185" s="2253"/>
      <c r="H185" s="1518"/>
      <c r="I185" s="646" t="s">
        <v>1040</v>
      </c>
      <c r="J185" s="567"/>
      <c r="K185" s="1518"/>
      <c r="L185" s="193"/>
      <c r="M185" s="329"/>
      <c r="N185" s="322"/>
      <c r="O185" s="1650"/>
      <c r="P185" s="1650"/>
    </row>
    <row s="1661" customFormat="1" customHeight="1" ht="0.75" hidden="1">
      <c r="A186" s="1806"/>
      <c r="B186" s="1806"/>
      <c r="C186" s="361" t="s">
        <v>1048</v>
      </c>
      <c r="D186" s="2292"/>
      <c r="E186" s="2037"/>
      <c r="F186" s="2207"/>
      <c r="G186" s="397"/>
      <c r="H186" s="1518"/>
      <c r="I186" s="646"/>
      <c r="J186" s="567"/>
      <c r="K186" s="1518"/>
      <c r="L186" s="193"/>
      <c r="M186" s="329"/>
      <c r="N186" s="322"/>
      <c r="O186" s="1650"/>
      <c r="P186" s="1650"/>
    </row>
    <row s="1661" customFormat="1" customHeight="1" ht="18.75" hidden="1">
      <c r="A187" s="1806" t="s">
        <v>244</v>
      </c>
      <c r="B187" s="1806" t="s">
        <v>245</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290</v>
      </c>
      <c r="M187" s="329"/>
      <c r="N187" s="322"/>
      <c r="O187" s="1650"/>
      <c r="P187" s="1650"/>
    </row>
    <row s="1661" customFormat="1" customHeight="1" ht="18.75" hidden="1">
      <c r="A188" s="1806"/>
      <c r="B188" s="1806"/>
      <c r="C188" s="361" t="s">
        <v>1041</v>
      </c>
      <c r="D188" s="2292"/>
      <c r="E188" s="2037"/>
      <c r="F188" s="2207"/>
      <c r="G188" s="2253"/>
      <c r="H188" s="1518"/>
      <c r="I188" s="646" t="s">
        <v>1040</v>
      </c>
      <c r="J188" s="567"/>
      <c r="K188" s="1518"/>
      <c r="L188" s="193"/>
      <c r="M188" s="329"/>
      <c r="N188" s="322"/>
      <c r="O188" s="1650"/>
      <c r="P188" s="1650"/>
    </row>
    <row s="1661" customFormat="1" customHeight="1" ht="0.75" hidden="1">
      <c r="A189" s="1806"/>
      <c r="B189" s="1806"/>
      <c r="C189" s="361" t="s">
        <v>1048</v>
      </c>
      <c r="D189" s="2292"/>
      <c r="E189" s="2037"/>
      <c r="F189" s="2207"/>
      <c r="G189" s="397"/>
      <c r="H189" s="1518"/>
      <c r="I189" s="646"/>
      <c r="J189" s="567"/>
      <c r="K189" s="1518"/>
      <c r="L189" s="193"/>
      <c r="M189" s="329"/>
      <c r="N189" s="322"/>
      <c r="O189" s="1650"/>
      <c r="P189" s="1650"/>
    </row>
    <row s="1661" customFormat="1" customHeight="1" ht="18.75" hidden="1">
      <c r="A190" s="1806" t="s">
        <v>249</v>
      </c>
      <c r="B190" s="1806" t="s">
        <v>250</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290</v>
      </c>
      <c r="M190" s="329"/>
      <c r="N190" s="322"/>
      <c r="O190" s="1650"/>
      <c r="P190" s="1650"/>
    </row>
    <row s="1661" customFormat="1" customHeight="1" ht="18.75" hidden="1">
      <c r="A191" s="1806"/>
      <c r="B191" s="1806"/>
      <c r="C191" s="361" t="s">
        <v>1041</v>
      </c>
      <c r="D191" s="2292"/>
      <c r="E191" s="2037"/>
      <c r="F191" s="2207"/>
      <c r="G191" s="2253"/>
      <c r="H191" s="1518"/>
      <c r="I191" s="646" t="s">
        <v>1040</v>
      </c>
      <c r="J191" s="567"/>
      <c r="K191" s="1518"/>
      <c r="L191" s="193"/>
      <c r="M191" s="329"/>
      <c r="N191" s="322"/>
      <c r="O191" s="1650"/>
      <c r="P191" s="1650"/>
    </row>
    <row s="1661" customFormat="1" customHeight="1" ht="0.75" hidden="1">
      <c r="A192" s="1806"/>
      <c r="B192" s="1806"/>
      <c r="C192" s="361" t="s">
        <v>1048</v>
      </c>
      <c r="D192" s="2292"/>
      <c r="E192" s="2037"/>
      <c r="F192" s="2207"/>
      <c r="G192" s="397"/>
      <c r="H192" s="1518"/>
      <c r="I192" s="646"/>
      <c r="J192" s="567"/>
      <c r="K192" s="1518"/>
      <c r="L192" s="193"/>
      <c r="M192" s="329"/>
      <c r="N192" s="322"/>
      <c r="O192" s="1650"/>
      <c r="P192" s="1650"/>
    </row>
    <row s="1661" customFormat="1" customHeight="1" ht="18.75" hidden="1">
      <c r="A193" s="1806" t="s">
        <v>254</v>
      </c>
      <c r="B193" s="1806" t="s">
        <v>255</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290</v>
      </c>
      <c r="M193" s="329"/>
      <c r="N193" s="322"/>
      <c r="O193" s="1650"/>
      <c r="P193" s="1650"/>
    </row>
    <row s="1661" customFormat="1" customHeight="1" ht="18.75" hidden="1">
      <c r="A194" s="1806"/>
      <c r="B194" s="1806"/>
      <c r="C194" s="361" t="s">
        <v>1041</v>
      </c>
      <c r="D194" s="2292"/>
      <c r="E194" s="2037"/>
      <c r="F194" s="2207"/>
      <c r="G194" s="2253"/>
      <c r="H194" s="1518"/>
      <c r="I194" s="646" t="s">
        <v>1040</v>
      </c>
      <c r="J194" s="567"/>
      <c r="K194" s="1518"/>
      <c r="L194" s="193"/>
      <c r="M194" s="329"/>
      <c r="N194" s="322"/>
      <c r="O194" s="1650"/>
      <c r="P194" s="1650"/>
    </row>
    <row s="1661" customFormat="1" customHeight="1" ht="0.75" hidden="1">
      <c r="A195" s="1806"/>
      <c r="B195" s="1806"/>
      <c r="C195" s="361" t="s">
        <v>1048</v>
      </c>
      <c r="D195" s="2292"/>
      <c r="E195" s="2037"/>
      <c r="F195" s="2207"/>
      <c r="G195" s="397"/>
      <c r="H195" s="1518"/>
      <c r="I195" s="646"/>
      <c r="J195" s="567"/>
      <c r="K195" s="1518"/>
      <c r="L195" s="193"/>
      <c r="M195" s="329"/>
      <c r="N195" s="322"/>
      <c r="O195" s="1650"/>
      <c r="P195" s="1650"/>
    </row>
    <row s="1661" customFormat="1" customHeight="1" ht="18.75" hidden="1">
      <c r="A196" s="1806" t="s">
        <v>259</v>
      </c>
      <c r="B196" s="1806" t="s">
        <v>260</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290</v>
      </c>
      <c r="M196" s="329"/>
      <c r="N196" s="322"/>
      <c r="O196" s="1650"/>
      <c r="P196" s="1650"/>
    </row>
    <row s="1661" customFormat="1" customHeight="1" ht="18.75" hidden="1">
      <c r="A197" s="1806"/>
      <c r="B197" s="1806"/>
      <c r="C197" s="361" t="s">
        <v>1041</v>
      </c>
      <c r="D197" s="2292"/>
      <c r="E197" s="2037"/>
      <c r="F197" s="2207"/>
      <c r="G197" s="2253"/>
      <c r="H197" s="1518"/>
      <c r="I197" s="646" t="s">
        <v>1040</v>
      </c>
      <c r="J197" s="567"/>
      <c r="K197" s="1518"/>
      <c r="L197" s="193"/>
      <c r="M197" s="329"/>
      <c r="N197" s="322"/>
      <c r="O197" s="1650"/>
      <c r="P197" s="1650"/>
    </row>
    <row s="1661" customFormat="1" customHeight="1" ht="0.75">
      <c r="A198" s="1806"/>
      <c r="B198" s="1806"/>
      <c r="C198" s="361" t="s">
        <v>1048</v>
      </c>
      <c r="D198" s="2292"/>
      <c r="E198" s="2037"/>
      <c r="F198" s="2207"/>
      <c r="G198" s="397"/>
      <c r="H198" s="1518"/>
      <c r="I198" s="646"/>
      <c r="J198" s="567"/>
      <c r="K198" s="1518"/>
      <c r="L198" s="193"/>
      <c r="M198" s="329"/>
      <c r="N198" s="322"/>
      <c r="O198" s="1650"/>
      <c r="P198" s="1650"/>
    </row>
    <row customHeight="1" ht="26.25">
      <c r="A199" s="1806"/>
      <c r="B199" s="1806"/>
      <c r="D199" s="368"/>
      <c r="E199" s="127" t="s">
        <v>108</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4"/>
      <c r="H199" s="2284"/>
      <c r="I199" s="2284"/>
      <c r="J199" s="2284"/>
      <c r="K199" s="2284"/>
      <c r="L199" s="2284"/>
      <c r="M199" s="277"/>
      <c r="N199" s="322"/>
    </row>
    <row s="1661" customFormat="1" customHeight="1" ht="60.75" hidden="1">
      <c r="A200" s="1806" t="s">
        <v>153</v>
      </c>
      <c r="B200" s="1806" t="s">
        <v>154</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290</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1041</v>
      </c>
      <c r="D201" s="2292"/>
      <c r="E201" s="2037"/>
      <c r="F201" s="2207"/>
      <c r="G201" s="2253"/>
      <c r="H201" s="1518"/>
      <c r="I201" s="646" t="s">
        <v>1040</v>
      </c>
      <c r="J201" s="567"/>
      <c r="K201" s="1518"/>
      <c r="L201" s="193"/>
      <c r="M201" s="1997"/>
      <c r="N201" s="322"/>
      <c r="O201" s="1650"/>
      <c r="P201" s="1650"/>
    </row>
    <row s="1661" customFormat="1" customHeight="1" ht="0.75" hidden="1">
      <c r="A202" s="1806"/>
      <c r="B202" s="1806"/>
      <c r="C202" s="361" t="s">
        <v>1048</v>
      </c>
      <c r="D202" s="2292"/>
      <c r="E202" s="2037"/>
      <c r="F202" s="2207"/>
      <c r="G202" s="397"/>
      <c r="H202" s="1518"/>
      <c r="I202" s="646"/>
      <c r="J202" s="567"/>
      <c r="K202" s="1518"/>
      <c r="L202" s="193"/>
      <c r="M202" s="1997"/>
      <c r="N202" s="322"/>
      <c r="O202" s="1650"/>
      <c r="P202" s="1650"/>
    </row>
    <row s="1661" customFormat="1" customHeight="1" ht="45" hidden="1">
      <c r="A203" s="1806" t="s">
        <v>159</v>
      </c>
      <c r="B203" s="1806" t="s">
        <v>160</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290</v>
      </c>
      <c r="M203" s="1998"/>
      <c r="N203" s="322"/>
      <c r="O203" s="1650"/>
      <c r="P203" s="1650"/>
    </row>
    <row s="1661" customFormat="1" customHeight="1" ht="18.75" hidden="1">
      <c r="A204" s="1806"/>
      <c r="B204" s="1806"/>
      <c r="C204" s="361" t="s">
        <v>1041</v>
      </c>
      <c r="D204" s="2292"/>
      <c r="E204" s="2037"/>
      <c r="F204" s="2207"/>
      <c r="G204" s="2253"/>
      <c r="H204" s="1518"/>
      <c r="I204" s="646" t="s">
        <v>1040</v>
      </c>
      <c r="J204" s="567"/>
      <c r="K204" s="1518"/>
      <c r="L204" s="193"/>
      <c r="M204" s="1887"/>
      <c r="N204" s="322"/>
      <c r="O204" s="1650"/>
      <c r="P204" s="1650"/>
    </row>
    <row s="1661" customFormat="1" customHeight="1" ht="0.75" hidden="1">
      <c r="A205" s="1806"/>
      <c r="B205" s="1806"/>
      <c r="C205" s="361" t="s">
        <v>1048</v>
      </c>
      <c r="D205" s="2292"/>
      <c r="E205" s="2037"/>
      <c r="F205" s="2207"/>
      <c r="G205" s="397"/>
      <c r="H205" s="1518"/>
      <c r="I205" s="646"/>
      <c r="J205" s="567"/>
      <c r="K205" s="1518"/>
      <c r="L205" s="193"/>
      <c r="M205" s="329"/>
      <c r="N205" s="322"/>
      <c r="O205" s="1650"/>
      <c r="P205" s="1650"/>
    </row>
    <row s="1661" customFormat="1" customHeight="1" ht="45" hidden="1">
      <c r="A206" s="1806" t="s">
        <v>165</v>
      </c>
      <c r="B206" s="1806" t="s">
        <v>166</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290</v>
      </c>
      <c r="M206" s="329"/>
      <c r="N206" s="322"/>
      <c r="O206" s="1650"/>
      <c r="P206" s="1650"/>
    </row>
    <row s="1661" customFormat="1" customHeight="1" ht="18.75" hidden="1">
      <c r="A207" s="1806"/>
      <c r="B207" s="1806"/>
      <c r="C207" s="361" t="s">
        <v>1041</v>
      </c>
      <c r="D207" s="2292"/>
      <c r="E207" s="2037"/>
      <c r="F207" s="2207"/>
      <c r="G207" s="2253"/>
      <c r="H207" s="1518"/>
      <c r="I207" s="646" t="s">
        <v>1040</v>
      </c>
      <c r="J207" s="567"/>
      <c r="K207" s="1518"/>
      <c r="L207" s="193"/>
      <c r="M207" s="329"/>
      <c r="N207" s="322"/>
      <c r="O207" s="1650"/>
      <c r="P207" s="1650"/>
    </row>
    <row s="1661" customFormat="1" customHeight="1" ht="0.75" hidden="1">
      <c r="A208" s="1806"/>
      <c r="B208" s="1806"/>
      <c r="C208" s="361" t="s">
        <v>1048</v>
      </c>
      <c r="D208" s="2292"/>
      <c r="E208" s="2037"/>
      <c r="F208" s="2207"/>
      <c r="G208" s="397"/>
      <c r="H208" s="1518"/>
      <c r="I208" s="646"/>
      <c r="J208" s="567"/>
      <c r="K208" s="1518"/>
      <c r="L208" s="193"/>
      <c r="M208" s="329"/>
      <c r="N208" s="322"/>
      <c r="O208" s="1650"/>
      <c r="P208" s="1650"/>
    </row>
    <row s="1661" customFormat="1" customHeight="1" ht="45" hidden="1">
      <c r="A209" s="1806" t="s">
        <v>171</v>
      </c>
      <c r="B209" s="1806" t="s">
        <v>172</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290</v>
      </c>
      <c r="M209" s="329"/>
      <c r="N209" s="322"/>
      <c r="O209" s="1650"/>
      <c r="P209" s="1650"/>
    </row>
    <row s="1661" customFormat="1" customHeight="1" ht="18.75" hidden="1">
      <c r="A210" s="1806"/>
      <c r="B210" s="1806"/>
      <c r="C210" s="361" t="s">
        <v>1041</v>
      </c>
      <c r="D210" s="2292"/>
      <c r="E210" s="2037"/>
      <c r="F210" s="2207"/>
      <c r="G210" s="2253"/>
      <c r="H210" s="1518"/>
      <c r="I210" s="646" t="s">
        <v>1040</v>
      </c>
      <c r="J210" s="567"/>
      <c r="K210" s="1518"/>
      <c r="L210" s="193"/>
      <c r="M210" s="329"/>
      <c r="N210" s="322"/>
      <c r="O210" s="1650"/>
      <c r="P210" s="1650"/>
    </row>
    <row s="1661" customFormat="1" customHeight="1" ht="0.75" hidden="1">
      <c r="A211" s="1806"/>
      <c r="B211" s="1806"/>
      <c r="C211" s="361" t="s">
        <v>1048</v>
      </c>
      <c r="D211" s="2292"/>
      <c r="E211" s="2037"/>
      <c r="F211" s="2207"/>
      <c r="G211" s="397"/>
      <c r="H211" s="1518"/>
      <c r="I211" s="646"/>
      <c r="J211" s="567"/>
      <c r="K211" s="1518"/>
      <c r="L211" s="193"/>
      <c r="M211" s="329"/>
      <c r="N211" s="322"/>
      <c r="O211" s="1650"/>
      <c r="P211" s="1650"/>
    </row>
    <row s="1661" customFormat="1" customHeight="1" ht="18.75" hidden="1">
      <c r="A212" s="1806" t="s">
        <v>177</v>
      </c>
      <c r="B212" s="1806" t="s">
        <v>178</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290</v>
      </c>
      <c r="M212" s="329"/>
      <c r="N212" s="322"/>
      <c r="O212" s="1650"/>
      <c r="P212" s="1650"/>
    </row>
    <row s="1661" customFormat="1" customHeight="1" ht="18.75" hidden="1">
      <c r="A213" s="1806"/>
      <c r="B213" s="1806"/>
      <c r="C213" s="361" t="s">
        <v>1041</v>
      </c>
      <c r="D213" s="2292"/>
      <c r="E213" s="2037"/>
      <c r="F213" s="2207"/>
      <c r="G213" s="2253"/>
      <c r="H213" s="1518"/>
      <c r="I213" s="646" t="s">
        <v>1040</v>
      </c>
      <c r="J213" s="567"/>
      <c r="K213" s="1518"/>
      <c r="L213" s="193"/>
      <c r="M213" s="329"/>
      <c r="N213" s="322"/>
      <c r="O213" s="1650"/>
      <c r="P213" s="1650"/>
    </row>
    <row s="1661" customFormat="1" customHeight="1" ht="0.75" hidden="1">
      <c r="A214" s="1806"/>
      <c r="B214" s="1806"/>
      <c r="C214" s="361" t="s">
        <v>1048</v>
      </c>
      <c r="D214" s="2292"/>
      <c r="E214" s="2037"/>
      <c r="F214" s="2207"/>
      <c r="G214" s="397"/>
      <c r="H214" s="1518"/>
      <c r="I214" s="646"/>
      <c r="J214" s="567"/>
      <c r="K214" s="1518"/>
      <c r="L214" s="193"/>
      <c r="M214" s="329"/>
      <c r="N214" s="322"/>
      <c r="O214" s="1650"/>
      <c r="P214" s="1650"/>
    </row>
    <row s="1661" customFormat="1" customHeight="1" ht="18.75" hidden="1">
      <c r="A215" s="1806" t="s">
        <v>183</v>
      </c>
      <c r="B215" s="1806" t="s">
        <v>184</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290</v>
      </c>
      <c r="M215" s="329"/>
      <c r="N215" s="322"/>
      <c r="O215" s="1650"/>
      <c r="P215" s="1650"/>
    </row>
    <row s="1661" customFormat="1" customHeight="1" ht="18.75" hidden="1">
      <c r="A216" s="1806"/>
      <c r="B216" s="1806"/>
      <c r="C216" s="361" t="s">
        <v>1041</v>
      </c>
      <c r="D216" s="2292"/>
      <c r="E216" s="2037"/>
      <c r="F216" s="2207"/>
      <c r="G216" s="2253"/>
      <c r="H216" s="1518"/>
      <c r="I216" s="646" t="s">
        <v>1040</v>
      </c>
      <c r="J216" s="567"/>
      <c r="K216" s="1518"/>
      <c r="L216" s="193"/>
      <c r="M216" s="329"/>
      <c r="N216" s="322"/>
      <c r="O216" s="1650"/>
      <c r="P216" s="1650"/>
    </row>
    <row s="1661" customFormat="1" customHeight="1" ht="0.75" hidden="1">
      <c r="A217" s="1806"/>
      <c r="B217" s="1806"/>
      <c r="C217" s="361" t="s">
        <v>1048</v>
      </c>
      <c r="D217" s="2292"/>
      <c r="E217" s="2037"/>
      <c r="F217" s="2207"/>
      <c r="G217" s="397"/>
      <c r="H217" s="1518"/>
      <c r="I217" s="646"/>
      <c r="J217" s="567"/>
      <c r="K217" s="1518"/>
      <c r="L217" s="193"/>
      <c r="M217" s="329"/>
      <c r="N217" s="322"/>
      <c r="O217" s="1650"/>
      <c r="P217" s="1650"/>
    </row>
    <row s="1661" customFormat="1" customHeight="1" ht="18.75" hidden="1">
      <c r="A218" s="1806" t="s">
        <v>189</v>
      </c>
      <c r="B218" s="1806" t="s">
        <v>190</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290</v>
      </c>
      <c r="M218" s="329"/>
      <c r="N218" s="322"/>
      <c r="O218" s="1650"/>
      <c r="P218" s="1650"/>
    </row>
    <row s="1661" customFormat="1" customHeight="1" ht="18.75" hidden="1">
      <c r="A219" s="1806"/>
      <c r="B219" s="1806"/>
      <c r="C219" s="361" t="s">
        <v>1041</v>
      </c>
      <c r="D219" s="2292"/>
      <c r="E219" s="2037"/>
      <c r="F219" s="2207"/>
      <c r="G219" s="2253"/>
      <c r="H219" s="1518"/>
      <c r="I219" s="646" t="s">
        <v>1040</v>
      </c>
      <c r="J219" s="567"/>
      <c r="K219" s="1518"/>
      <c r="L219" s="193"/>
      <c r="M219" s="329"/>
      <c r="N219" s="322"/>
      <c r="O219" s="1650"/>
      <c r="P219" s="1650"/>
    </row>
    <row s="1661" customFormat="1" customHeight="1" ht="0.75" hidden="1">
      <c r="A220" s="1806"/>
      <c r="B220" s="1806"/>
      <c r="C220" s="361" t="s">
        <v>1048</v>
      </c>
      <c r="D220" s="2292"/>
      <c r="E220" s="2037"/>
      <c r="F220" s="2207"/>
      <c r="G220" s="397"/>
      <c r="H220" s="1518"/>
      <c r="I220" s="646"/>
      <c r="J220" s="567"/>
      <c r="K220" s="1518"/>
      <c r="L220" s="193"/>
      <c r="M220" s="329"/>
      <c r="N220" s="322"/>
      <c r="O220" s="1650"/>
      <c r="P220" s="1650"/>
    </row>
    <row s="1661" customFormat="1" customHeight="1" ht="18.75" hidden="1">
      <c r="A221" s="1806" t="s">
        <v>195</v>
      </c>
      <c r="B221" s="1806" t="s">
        <v>196</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290</v>
      </c>
      <c r="M221" s="329"/>
      <c r="N221" s="322"/>
      <c r="O221" s="1650"/>
      <c r="P221" s="1650"/>
    </row>
    <row s="1661" customFormat="1" customHeight="1" ht="18.75" hidden="1">
      <c r="A222" s="1806"/>
      <c r="B222" s="1806"/>
      <c r="C222" s="361" t="s">
        <v>1041</v>
      </c>
      <c r="D222" s="2292"/>
      <c r="E222" s="2037"/>
      <c r="F222" s="2207"/>
      <c r="G222" s="2253"/>
      <c r="H222" s="1518"/>
      <c r="I222" s="646" t="s">
        <v>1040</v>
      </c>
      <c r="J222" s="567"/>
      <c r="K222" s="1518"/>
      <c r="L222" s="193"/>
      <c r="M222" s="329"/>
      <c r="N222" s="322"/>
      <c r="O222" s="1650"/>
      <c r="P222" s="1650"/>
    </row>
    <row s="1661" customFormat="1" customHeight="1" ht="0.75" hidden="1">
      <c r="A223" s="1806"/>
      <c r="B223" s="1806"/>
      <c r="C223" s="361" t="s">
        <v>1048</v>
      </c>
      <c r="D223" s="2292"/>
      <c r="E223" s="2037"/>
      <c r="F223" s="2207"/>
      <c r="G223" s="397"/>
      <c r="H223" s="1518"/>
      <c r="I223" s="646"/>
      <c r="J223" s="567"/>
      <c r="K223" s="1518"/>
      <c r="L223" s="193"/>
      <c r="M223" s="329"/>
      <c r="N223" s="322"/>
      <c r="O223" s="1650"/>
      <c r="P223" s="1650"/>
    </row>
    <row s="1661" customFormat="1" customHeight="1" ht="18.75" hidden="1">
      <c r="A224" s="1806" t="s">
        <v>209</v>
      </c>
      <c r="B224" s="1806" t="s">
        <v>210</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290</v>
      </c>
      <c r="M224" s="329"/>
      <c r="N224" s="322"/>
      <c r="O224" s="1650"/>
      <c r="P224" s="1650"/>
    </row>
    <row s="1661" customFormat="1" customHeight="1" ht="18.75" hidden="1">
      <c r="A225" s="1806"/>
      <c r="B225" s="1806"/>
      <c r="C225" s="361" t="s">
        <v>1041</v>
      </c>
      <c r="D225" s="2292"/>
      <c r="E225" s="2037"/>
      <c r="F225" s="2207"/>
      <c r="G225" s="2253"/>
      <c r="H225" s="1518"/>
      <c r="I225" s="646" t="s">
        <v>1040</v>
      </c>
      <c r="J225" s="567"/>
      <c r="K225" s="1518"/>
      <c r="L225" s="193"/>
      <c r="M225" s="329"/>
      <c r="N225" s="322"/>
      <c r="O225" s="1650"/>
      <c r="P225" s="1650"/>
    </row>
    <row s="1661" customFormat="1" customHeight="1" ht="0.75" hidden="1">
      <c r="A226" s="1806"/>
      <c r="B226" s="1806"/>
      <c r="C226" s="361" t="s">
        <v>1048</v>
      </c>
      <c r="D226" s="2292"/>
      <c r="E226" s="2037"/>
      <c r="F226" s="2207"/>
      <c r="G226" s="397"/>
      <c r="H226" s="1518"/>
      <c r="I226" s="646"/>
      <c r="J226" s="567"/>
      <c r="K226" s="1518"/>
      <c r="L226" s="193"/>
      <c r="M226" s="329"/>
      <c r="N226" s="322"/>
      <c r="O226" s="1650"/>
      <c r="P226" s="1650"/>
    </row>
    <row s="1661" customFormat="1" customHeight="1" ht="18.75" hidden="1">
      <c r="A227" s="1806" t="s">
        <v>214</v>
      </c>
      <c r="B227" s="1806" t="s">
        <v>215</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290</v>
      </c>
      <c r="M227" s="329"/>
      <c r="N227" s="322"/>
      <c r="O227" s="1650"/>
      <c r="P227" s="1650"/>
    </row>
    <row s="1661" customFormat="1" customHeight="1" ht="18.75" hidden="1">
      <c r="A228" s="1806"/>
      <c r="B228" s="1806"/>
      <c r="C228" s="361" t="s">
        <v>1041</v>
      </c>
      <c r="D228" s="2292"/>
      <c r="E228" s="2037"/>
      <c r="F228" s="2207"/>
      <c r="G228" s="2253"/>
      <c r="H228" s="1518"/>
      <c r="I228" s="646" t="s">
        <v>1040</v>
      </c>
      <c r="J228" s="567"/>
      <c r="K228" s="1518"/>
      <c r="L228" s="193"/>
      <c r="M228" s="329"/>
      <c r="N228" s="322"/>
      <c r="O228" s="1650"/>
      <c r="P228" s="1650"/>
    </row>
    <row s="1661" customFormat="1" customHeight="1" ht="0.75" hidden="1">
      <c r="A229" s="1806"/>
      <c r="B229" s="1806"/>
      <c r="C229" s="361" t="s">
        <v>1048</v>
      </c>
      <c r="D229" s="2292"/>
      <c r="E229" s="2037"/>
      <c r="F229" s="2207"/>
      <c r="G229" s="397"/>
      <c r="H229" s="1518"/>
      <c r="I229" s="646"/>
      <c r="J229" s="567"/>
      <c r="K229" s="1518"/>
      <c r="L229" s="193"/>
      <c r="M229" s="329"/>
      <c r="N229" s="322"/>
      <c r="O229" s="1650"/>
      <c r="P229" s="1650"/>
    </row>
    <row s="1661" customFormat="1" customHeight="1" ht="18.75" hidden="1">
      <c r="A230" s="1806" t="s">
        <v>219</v>
      </c>
      <c r="B230" s="1806" t="s">
        <v>220</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290</v>
      </c>
      <c r="M230" s="329"/>
      <c r="N230" s="322"/>
      <c r="O230" s="1650"/>
      <c r="P230" s="1650"/>
    </row>
    <row s="1661" customFormat="1" customHeight="1" ht="18.75" hidden="1">
      <c r="A231" s="1806"/>
      <c r="B231" s="1806"/>
      <c r="C231" s="361" t="s">
        <v>1041</v>
      </c>
      <c r="D231" s="2292"/>
      <c r="E231" s="2037"/>
      <c r="F231" s="2207"/>
      <c r="G231" s="2253"/>
      <c r="H231" s="1518"/>
      <c r="I231" s="646" t="s">
        <v>1040</v>
      </c>
      <c r="J231" s="567"/>
      <c r="K231" s="1518"/>
      <c r="L231" s="193"/>
      <c r="M231" s="329"/>
      <c r="N231" s="322"/>
      <c r="O231" s="1650"/>
      <c r="P231" s="1650"/>
    </row>
    <row s="1661" customFormat="1" customHeight="1" ht="0.75" hidden="1">
      <c r="A232" s="1806"/>
      <c r="B232" s="1806"/>
      <c r="C232" s="361" t="s">
        <v>1048</v>
      </c>
      <c r="D232" s="2292"/>
      <c r="E232" s="2037"/>
      <c r="F232" s="2207"/>
      <c r="G232" s="397"/>
      <c r="H232" s="1518"/>
      <c r="I232" s="646"/>
      <c r="J232" s="567"/>
      <c r="K232" s="1518"/>
      <c r="L232" s="193"/>
      <c r="M232" s="329"/>
      <c r="N232" s="322"/>
      <c r="O232" s="1650"/>
      <c r="P232" s="1650"/>
    </row>
    <row s="1661" customFormat="1" customHeight="1" ht="18.75" hidden="1">
      <c r="A233" s="1806" t="s">
        <v>224</v>
      </c>
      <c r="B233" s="1806" t="s">
        <v>225</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290</v>
      </c>
      <c r="M233" s="329"/>
      <c r="N233" s="322"/>
      <c r="O233" s="1650"/>
      <c r="P233" s="1650"/>
    </row>
    <row s="1661" customFormat="1" customHeight="1" ht="18.75" hidden="1">
      <c r="A234" s="1806"/>
      <c r="B234" s="1806"/>
      <c r="C234" s="361" t="s">
        <v>1041</v>
      </c>
      <c r="D234" s="2292"/>
      <c r="E234" s="2037"/>
      <c r="F234" s="2207"/>
      <c r="G234" s="2253"/>
      <c r="H234" s="1518"/>
      <c r="I234" s="646" t="s">
        <v>1040</v>
      </c>
      <c r="J234" s="567"/>
      <c r="K234" s="1518"/>
      <c r="L234" s="193"/>
      <c r="M234" s="329"/>
      <c r="N234" s="322"/>
      <c r="O234" s="1650"/>
      <c r="P234" s="1650"/>
    </row>
    <row s="1661" customFormat="1" customHeight="1" ht="0.75" hidden="1">
      <c r="A235" s="1806"/>
      <c r="B235" s="1806"/>
      <c r="C235" s="361" t="s">
        <v>1048</v>
      </c>
      <c r="D235" s="2292"/>
      <c r="E235" s="2037"/>
      <c r="F235" s="2207"/>
      <c r="G235" s="397"/>
      <c r="H235" s="1518"/>
      <c r="I235" s="646"/>
      <c r="J235" s="567"/>
      <c r="K235" s="1518"/>
      <c r="L235" s="193"/>
      <c r="M235" s="329"/>
      <c r="N235" s="322"/>
      <c r="O235" s="1650"/>
      <c r="P235" s="1650"/>
    </row>
    <row s="1661" customFormat="1" customHeight="1" ht="18.75" hidden="1">
      <c r="A236" s="1806" t="s">
        <v>229</v>
      </c>
      <c r="B236" s="1806" t="s">
        <v>230</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290</v>
      </c>
      <c r="M236" s="329"/>
      <c r="N236" s="322"/>
      <c r="O236" s="1650"/>
      <c r="P236" s="1650"/>
    </row>
    <row s="1661" customFormat="1" customHeight="1" ht="18.75" hidden="1">
      <c r="A237" s="1806"/>
      <c r="B237" s="1806"/>
      <c r="C237" s="361" t="s">
        <v>1041</v>
      </c>
      <c r="D237" s="2292"/>
      <c r="E237" s="2037"/>
      <c r="F237" s="2207"/>
      <c r="G237" s="2253"/>
      <c r="H237" s="1518"/>
      <c r="I237" s="646" t="s">
        <v>1040</v>
      </c>
      <c r="J237" s="567"/>
      <c r="K237" s="1518"/>
      <c r="L237" s="193"/>
      <c r="M237" s="329"/>
      <c r="N237" s="322"/>
      <c r="O237" s="1650"/>
      <c r="P237" s="1650"/>
    </row>
    <row s="1661" customFormat="1" customHeight="1" ht="0.75" hidden="1">
      <c r="A238" s="1806"/>
      <c r="B238" s="1806"/>
      <c r="C238" s="361" t="s">
        <v>1048</v>
      </c>
      <c r="D238" s="2292"/>
      <c r="E238" s="2037"/>
      <c r="F238" s="2207"/>
      <c r="G238" s="397"/>
      <c r="H238" s="1518"/>
      <c r="I238" s="646"/>
      <c r="J238" s="567"/>
      <c r="K238" s="1518"/>
      <c r="L238" s="193"/>
      <c r="M238" s="329"/>
      <c r="N238" s="322"/>
      <c r="O238" s="1650"/>
      <c r="P238" s="1650"/>
    </row>
    <row s="1661" customFormat="1" customHeight="1" ht="18.75" hidden="1">
      <c r="A239" s="1806" t="s">
        <v>234</v>
      </c>
      <c r="B239" s="1806" t="s">
        <v>235</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290</v>
      </c>
      <c r="M239" s="329"/>
      <c r="N239" s="322"/>
      <c r="O239" s="1650"/>
      <c r="P239" s="1650"/>
    </row>
    <row s="1661" customFormat="1" customHeight="1" ht="18.75" hidden="1">
      <c r="A240" s="1806"/>
      <c r="B240" s="1806"/>
      <c r="C240" s="361" t="s">
        <v>1041</v>
      </c>
      <c r="D240" s="2292"/>
      <c r="E240" s="2037"/>
      <c r="F240" s="2207"/>
      <c r="G240" s="2253"/>
      <c r="H240" s="1518"/>
      <c r="I240" s="646" t="s">
        <v>1040</v>
      </c>
      <c r="J240" s="567"/>
      <c r="K240" s="1518"/>
      <c r="L240" s="193"/>
      <c r="M240" s="329"/>
      <c r="N240" s="322"/>
      <c r="O240" s="1650"/>
      <c r="P240" s="1650"/>
    </row>
    <row s="1661" customFormat="1" customHeight="1" ht="0.75" hidden="1">
      <c r="A241" s="1806"/>
      <c r="B241" s="1806"/>
      <c r="C241" s="361" t="s">
        <v>1048</v>
      </c>
      <c r="D241" s="2292"/>
      <c r="E241" s="2037"/>
      <c r="F241" s="2207"/>
      <c r="G241" s="397"/>
      <c r="H241" s="1518"/>
      <c r="I241" s="646"/>
      <c r="J241" s="567"/>
      <c r="K241" s="1518"/>
      <c r="L241" s="193"/>
      <c r="M241" s="329"/>
      <c r="N241" s="322"/>
      <c r="O241" s="1650"/>
      <c r="P241" s="1650"/>
    </row>
    <row s="1661" customFormat="1" customHeight="1" ht="18.75" hidden="1">
      <c r="A242" s="1806" t="s">
        <v>239</v>
      </c>
      <c r="B242" s="1806" t="s">
        <v>240</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290</v>
      </c>
      <c r="M242" s="329"/>
      <c r="N242" s="322"/>
      <c r="O242" s="1650"/>
      <c r="P242" s="1650"/>
    </row>
    <row s="1661" customFormat="1" customHeight="1" ht="18.75" hidden="1">
      <c r="A243" s="1806"/>
      <c r="B243" s="1806"/>
      <c r="C243" s="361" t="s">
        <v>1041</v>
      </c>
      <c r="D243" s="2292"/>
      <c r="E243" s="2037"/>
      <c r="F243" s="2207"/>
      <c r="G243" s="2253"/>
      <c r="H243" s="1518"/>
      <c r="I243" s="646" t="s">
        <v>1040</v>
      </c>
      <c r="J243" s="567"/>
      <c r="K243" s="1518"/>
      <c r="L243" s="193"/>
      <c r="M243" s="329"/>
      <c r="N243" s="322"/>
      <c r="O243" s="1650"/>
      <c r="P243" s="1650"/>
    </row>
    <row s="1661" customFormat="1" customHeight="1" ht="0.75" hidden="1">
      <c r="A244" s="1806"/>
      <c r="B244" s="1806"/>
      <c r="C244" s="361" t="s">
        <v>1048</v>
      </c>
      <c r="D244" s="2292"/>
      <c r="E244" s="2037"/>
      <c r="F244" s="2207"/>
      <c r="G244" s="397"/>
      <c r="H244" s="1518"/>
      <c r="I244" s="646"/>
      <c r="J244" s="567"/>
      <c r="K244" s="1518"/>
      <c r="L244" s="193"/>
      <c r="M244" s="329"/>
      <c r="N244" s="322"/>
      <c r="O244" s="1650"/>
      <c r="P244" s="1650"/>
    </row>
    <row s="1661" customFormat="1" customHeight="1" ht="18.75" hidden="1">
      <c r="A245" s="1806" t="s">
        <v>244</v>
      </c>
      <c r="B245" s="1806" t="s">
        <v>245</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290</v>
      </c>
      <c r="M245" s="329"/>
      <c r="N245" s="322"/>
      <c r="O245" s="1650"/>
      <c r="P245" s="1650"/>
    </row>
    <row s="1661" customFormat="1" customHeight="1" ht="18.75" hidden="1">
      <c r="A246" s="1806"/>
      <c r="B246" s="1806"/>
      <c r="C246" s="361" t="s">
        <v>1041</v>
      </c>
      <c r="D246" s="2292"/>
      <c r="E246" s="2037"/>
      <c r="F246" s="2207"/>
      <c r="G246" s="2253"/>
      <c r="H246" s="1518"/>
      <c r="I246" s="646" t="s">
        <v>1040</v>
      </c>
      <c r="J246" s="567"/>
      <c r="K246" s="1518"/>
      <c r="L246" s="193"/>
      <c r="M246" s="329"/>
      <c r="N246" s="322"/>
      <c r="O246" s="1650"/>
      <c r="P246" s="1650"/>
    </row>
    <row s="1661" customFormat="1" customHeight="1" ht="0.75" hidden="1">
      <c r="A247" s="1806"/>
      <c r="B247" s="1806"/>
      <c r="C247" s="361" t="s">
        <v>1048</v>
      </c>
      <c r="D247" s="2292"/>
      <c r="E247" s="2037"/>
      <c r="F247" s="2207"/>
      <c r="G247" s="397"/>
      <c r="H247" s="1518"/>
      <c r="I247" s="646"/>
      <c r="J247" s="567"/>
      <c r="K247" s="1518"/>
      <c r="L247" s="193"/>
      <c r="M247" s="329"/>
      <c r="N247" s="322"/>
      <c r="O247" s="1650"/>
      <c r="P247" s="1650"/>
    </row>
    <row s="1661" customFormat="1" customHeight="1" ht="18.75" hidden="1">
      <c r="A248" s="1806" t="s">
        <v>249</v>
      </c>
      <c r="B248" s="1806" t="s">
        <v>250</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290</v>
      </c>
      <c r="M248" s="329"/>
      <c r="N248" s="322"/>
      <c r="O248" s="1650"/>
      <c r="P248" s="1650"/>
    </row>
    <row s="1661" customFormat="1" customHeight="1" ht="18.75" hidden="1">
      <c r="A249" s="1806"/>
      <c r="B249" s="1806"/>
      <c r="C249" s="361" t="s">
        <v>1041</v>
      </c>
      <c r="D249" s="2292"/>
      <c r="E249" s="2037"/>
      <c r="F249" s="2207"/>
      <c r="G249" s="2253"/>
      <c r="H249" s="1518"/>
      <c r="I249" s="646" t="s">
        <v>1040</v>
      </c>
      <c r="J249" s="567"/>
      <c r="K249" s="1518"/>
      <c r="L249" s="193"/>
      <c r="M249" s="329"/>
      <c r="N249" s="322"/>
      <c r="O249" s="1650"/>
      <c r="P249" s="1650"/>
    </row>
    <row s="1661" customFormat="1" customHeight="1" ht="0.75" hidden="1">
      <c r="A250" s="1806"/>
      <c r="B250" s="1806"/>
      <c r="C250" s="361" t="s">
        <v>1048</v>
      </c>
      <c r="D250" s="2292"/>
      <c r="E250" s="2037"/>
      <c r="F250" s="2207"/>
      <c r="G250" s="397"/>
      <c r="H250" s="1518"/>
      <c r="I250" s="646"/>
      <c r="J250" s="567"/>
      <c r="K250" s="1518"/>
      <c r="L250" s="193"/>
      <c r="M250" s="329"/>
      <c r="N250" s="322"/>
      <c r="O250" s="1650"/>
      <c r="P250" s="1650"/>
    </row>
    <row s="1661" customFormat="1" customHeight="1" ht="18.75" hidden="1">
      <c r="A251" s="1806" t="s">
        <v>254</v>
      </c>
      <c r="B251" s="1806" t="s">
        <v>255</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290</v>
      </c>
      <c r="M251" s="329"/>
      <c r="N251" s="322"/>
      <c r="O251" s="1650"/>
      <c r="P251" s="1650"/>
    </row>
    <row s="1661" customFormat="1" customHeight="1" ht="18.75" hidden="1">
      <c r="A252" s="1806"/>
      <c r="B252" s="1806"/>
      <c r="C252" s="361" t="s">
        <v>1041</v>
      </c>
      <c r="D252" s="2292"/>
      <c r="E252" s="2037"/>
      <c r="F252" s="2207"/>
      <c r="G252" s="2253"/>
      <c r="H252" s="1518"/>
      <c r="I252" s="646" t="s">
        <v>1040</v>
      </c>
      <c r="J252" s="567"/>
      <c r="K252" s="1518"/>
      <c r="L252" s="193"/>
      <c r="M252" s="329"/>
      <c r="N252" s="322"/>
      <c r="O252" s="1650"/>
      <c r="P252" s="1650"/>
    </row>
    <row s="1661" customFormat="1" customHeight="1" ht="0.75" hidden="1">
      <c r="A253" s="1806"/>
      <c r="B253" s="1806"/>
      <c r="C253" s="361" t="s">
        <v>1048</v>
      </c>
      <c r="D253" s="2292"/>
      <c r="E253" s="2037"/>
      <c r="F253" s="2207"/>
      <c r="G253" s="397"/>
      <c r="H253" s="1518"/>
      <c r="I253" s="646"/>
      <c r="J253" s="567"/>
      <c r="K253" s="1518"/>
      <c r="L253" s="193"/>
      <c r="M253" s="329"/>
      <c r="N253" s="322"/>
      <c r="O253" s="1650"/>
      <c r="P253" s="1650"/>
    </row>
    <row s="1661" customFormat="1" customHeight="1" ht="18.75" hidden="1">
      <c r="A254" s="1806" t="s">
        <v>259</v>
      </c>
      <c r="B254" s="1806" t="s">
        <v>260</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290</v>
      </c>
      <c r="M254" s="329"/>
      <c r="N254" s="322"/>
      <c r="O254" s="1650"/>
      <c r="P254" s="1650"/>
    </row>
    <row s="1661" customFormat="1" customHeight="1" ht="18.75" hidden="1">
      <c r="A255" s="1806"/>
      <c r="B255" s="1806"/>
      <c r="C255" s="361" t="s">
        <v>1041</v>
      </c>
      <c r="D255" s="2292"/>
      <c r="E255" s="2037"/>
      <c r="F255" s="2207"/>
      <c r="G255" s="2253"/>
      <c r="H255" s="1518"/>
      <c r="I255" s="646" t="s">
        <v>1040</v>
      </c>
      <c r="J255" s="567"/>
      <c r="K255" s="1518"/>
      <c r="L255" s="193"/>
      <c r="M255" s="329"/>
      <c r="N255" s="322"/>
      <c r="O255" s="1650"/>
      <c r="P255" s="1650"/>
    </row>
    <row s="1661" customFormat="1" customHeight="1" ht="0.75">
      <c r="A256" s="1806"/>
      <c r="B256" s="1806"/>
      <c r="C256" s="361" t="s">
        <v>1048</v>
      </c>
      <c r="D256" s="2292"/>
      <c r="E256" s="2037"/>
      <c r="F256" s="2207"/>
      <c r="G256" s="397"/>
      <c r="H256" s="1518"/>
      <c r="I256" s="646"/>
      <c r="J256" s="567"/>
      <c r="K256" s="1518"/>
      <c r="L256" s="193"/>
      <c r="M256" s="329"/>
      <c r="N256" s="322"/>
      <c r="O256" s="1650"/>
      <c r="P256" s="1650"/>
    </row>
    <row customHeight="1" ht="25.5">
      <c r="A257" s="1806"/>
      <c r="B257" s="1806"/>
      <c r="D257" s="368"/>
      <c r="E257" s="127" t="s">
        <v>88</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4"/>
      <c r="H257" s="2284"/>
      <c r="I257" s="2284"/>
      <c r="J257" s="2284"/>
      <c r="K257" s="2284"/>
      <c r="L257" s="2284"/>
      <c r="M257" s="277"/>
      <c r="N257" s="322"/>
    </row>
    <row s="1661" customFormat="1" customHeight="1" ht="60.75" hidden="1">
      <c r="A258" s="1806" t="s">
        <v>153</v>
      </c>
      <c r="B258" s="1806" t="s">
        <v>154</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290</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1041</v>
      </c>
      <c r="D259" s="2292"/>
      <c r="E259" s="2037"/>
      <c r="F259" s="2207"/>
      <c r="G259" s="2253"/>
      <c r="H259" s="1518"/>
      <c r="I259" s="646" t="s">
        <v>1040</v>
      </c>
      <c r="J259" s="567"/>
      <c r="K259" s="1518"/>
      <c r="L259" s="193"/>
      <c r="M259" s="1997"/>
      <c r="N259" s="322"/>
      <c r="O259" s="1650"/>
      <c r="P259" s="1650"/>
    </row>
    <row s="1661" customFormat="1" customHeight="1" ht="0.75" hidden="1">
      <c r="A260" s="1806"/>
      <c r="B260" s="1806"/>
      <c r="C260" s="361" t="s">
        <v>1048</v>
      </c>
      <c r="D260" s="2292"/>
      <c r="E260" s="2037"/>
      <c r="F260" s="2207"/>
      <c r="G260" s="397"/>
      <c r="H260" s="1518"/>
      <c r="I260" s="646"/>
      <c r="J260" s="567"/>
      <c r="K260" s="1518"/>
      <c r="L260" s="193"/>
      <c r="M260" s="1997"/>
      <c r="N260" s="322"/>
      <c r="O260" s="1650"/>
      <c r="P260" s="1650"/>
    </row>
    <row s="1661" customFormat="1" customHeight="1" ht="45" hidden="1">
      <c r="A261" s="1806" t="s">
        <v>159</v>
      </c>
      <c r="B261" s="1806" t="s">
        <v>160</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290</v>
      </c>
      <c r="M261" s="1998"/>
      <c r="N261" s="322"/>
      <c r="O261" s="1650"/>
      <c r="P261" s="1650"/>
    </row>
    <row s="1661" customFormat="1" customHeight="1" ht="18.75" hidden="1">
      <c r="A262" s="1806"/>
      <c r="B262" s="1806"/>
      <c r="C262" s="361" t="s">
        <v>1041</v>
      </c>
      <c r="D262" s="2292"/>
      <c r="E262" s="2037"/>
      <c r="F262" s="2207"/>
      <c r="G262" s="2253"/>
      <c r="H262" s="1518"/>
      <c r="I262" s="646" t="s">
        <v>1040</v>
      </c>
      <c r="J262" s="567"/>
      <c r="K262" s="1518"/>
      <c r="L262" s="193"/>
      <c r="M262" s="1887"/>
      <c r="N262" s="322"/>
      <c r="O262" s="1650"/>
      <c r="P262" s="1650"/>
    </row>
    <row s="1661" customFormat="1" customHeight="1" ht="0.75" hidden="1">
      <c r="A263" s="1806"/>
      <c r="B263" s="1806"/>
      <c r="C263" s="361" t="s">
        <v>1048</v>
      </c>
      <c r="D263" s="2292"/>
      <c r="E263" s="2037"/>
      <c r="F263" s="2207"/>
      <c r="G263" s="397"/>
      <c r="H263" s="1518"/>
      <c r="I263" s="646"/>
      <c r="J263" s="567"/>
      <c r="K263" s="1518"/>
      <c r="L263" s="193"/>
      <c r="M263" s="329"/>
      <c r="N263" s="322"/>
      <c r="O263" s="1650"/>
      <c r="P263" s="1650"/>
    </row>
    <row s="1661" customFormat="1" customHeight="1" ht="45" hidden="1">
      <c r="A264" s="1806" t="s">
        <v>165</v>
      </c>
      <c r="B264" s="1806" t="s">
        <v>166</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290</v>
      </c>
      <c r="M264" s="329"/>
      <c r="N264" s="322"/>
      <c r="O264" s="1650"/>
      <c r="P264" s="1650"/>
    </row>
    <row s="1661" customFormat="1" customHeight="1" ht="18.75" hidden="1">
      <c r="A265" s="1806"/>
      <c r="B265" s="1806"/>
      <c r="C265" s="361" t="s">
        <v>1041</v>
      </c>
      <c r="D265" s="2292"/>
      <c r="E265" s="2037"/>
      <c r="F265" s="2207"/>
      <c r="G265" s="2253"/>
      <c r="H265" s="1518"/>
      <c r="I265" s="646" t="s">
        <v>1040</v>
      </c>
      <c r="J265" s="567"/>
      <c r="K265" s="1518"/>
      <c r="L265" s="193"/>
      <c r="M265" s="329"/>
      <c r="N265" s="322"/>
      <c r="O265" s="1650"/>
      <c r="P265" s="1650"/>
    </row>
    <row s="1661" customFormat="1" customHeight="1" ht="0.75" hidden="1">
      <c r="A266" s="1806"/>
      <c r="B266" s="1806"/>
      <c r="C266" s="361" t="s">
        <v>1048</v>
      </c>
      <c r="D266" s="2292"/>
      <c r="E266" s="2037"/>
      <c r="F266" s="2207"/>
      <c r="G266" s="397"/>
      <c r="H266" s="1518"/>
      <c r="I266" s="646"/>
      <c r="J266" s="567"/>
      <c r="K266" s="1518"/>
      <c r="L266" s="193"/>
      <c r="M266" s="329"/>
      <c r="N266" s="322"/>
      <c r="O266" s="1650"/>
      <c r="P266" s="1650"/>
    </row>
    <row s="1661" customFormat="1" customHeight="1" ht="45" hidden="1">
      <c r="A267" s="1806" t="s">
        <v>171</v>
      </c>
      <c r="B267" s="1806" t="s">
        <v>172</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290</v>
      </c>
      <c r="M267" s="329"/>
      <c r="N267" s="322"/>
      <c r="O267" s="1650"/>
      <c r="P267" s="1650"/>
    </row>
    <row s="1661" customFormat="1" customHeight="1" ht="18.75" hidden="1">
      <c r="A268" s="1806"/>
      <c r="B268" s="1806"/>
      <c r="C268" s="361" t="s">
        <v>1041</v>
      </c>
      <c r="D268" s="2292"/>
      <c r="E268" s="2037"/>
      <c r="F268" s="2207"/>
      <c r="G268" s="2253"/>
      <c r="H268" s="1518"/>
      <c r="I268" s="646" t="s">
        <v>1040</v>
      </c>
      <c r="J268" s="567"/>
      <c r="K268" s="1518"/>
      <c r="L268" s="193"/>
      <c r="M268" s="329"/>
      <c r="N268" s="322"/>
      <c r="O268" s="1650"/>
      <c r="P268" s="1650"/>
    </row>
    <row s="1661" customFormat="1" customHeight="1" ht="0.75" hidden="1">
      <c r="A269" s="1806"/>
      <c r="B269" s="1806"/>
      <c r="C269" s="361" t="s">
        <v>1048</v>
      </c>
      <c r="D269" s="2292"/>
      <c r="E269" s="2037"/>
      <c r="F269" s="2207"/>
      <c r="G269" s="397"/>
      <c r="H269" s="1518"/>
      <c r="I269" s="646"/>
      <c r="J269" s="567"/>
      <c r="K269" s="1518"/>
      <c r="L269" s="193"/>
      <c r="M269" s="329"/>
      <c r="N269" s="322"/>
      <c r="O269" s="1650"/>
      <c r="P269" s="1650"/>
    </row>
    <row s="1661" customFormat="1" customHeight="1" ht="18.75" hidden="1">
      <c r="A270" s="1806" t="s">
        <v>177</v>
      </c>
      <c r="B270" s="1806" t="s">
        <v>178</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290</v>
      </c>
      <c r="M270" s="329"/>
      <c r="N270" s="322"/>
      <c r="O270" s="1650"/>
      <c r="P270" s="1650"/>
    </row>
    <row s="1661" customFormat="1" customHeight="1" ht="18.75" hidden="1">
      <c r="A271" s="1806"/>
      <c r="B271" s="1806"/>
      <c r="C271" s="361" t="s">
        <v>1041</v>
      </c>
      <c r="D271" s="2292"/>
      <c r="E271" s="2037"/>
      <c r="F271" s="2207"/>
      <c r="G271" s="2253"/>
      <c r="H271" s="1518"/>
      <c r="I271" s="646" t="s">
        <v>1040</v>
      </c>
      <c r="J271" s="567"/>
      <c r="K271" s="1518"/>
      <c r="L271" s="193"/>
      <c r="M271" s="329"/>
      <c r="N271" s="322"/>
      <c r="O271" s="1650"/>
      <c r="P271" s="1650"/>
    </row>
    <row s="1661" customFormat="1" customHeight="1" ht="0.75" hidden="1">
      <c r="A272" s="1806"/>
      <c r="B272" s="1806"/>
      <c r="C272" s="361" t="s">
        <v>1048</v>
      </c>
      <c r="D272" s="2292"/>
      <c r="E272" s="2037"/>
      <c r="F272" s="2207"/>
      <c r="G272" s="397"/>
      <c r="H272" s="1518"/>
      <c r="I272" s="646"/>
      <c r="J272" s="567"/>
      <c r="K272" s="1518"/>
      <c r="L272" s="193"/>
      <c r="M272" s="329"/>
      <c r="N272" s="322"/>
      <c r="O272" s="1650"/>
      <c r="P272" s="1650"/>
    </row>
    <row s="1661" customFormat="1" customHeight="1" ht="18.75" hidden="1">
      <c r="A273" s="1806" t="s">
        <v>183</v>
      </c>
      <c r="B273" s="1806" t="s">
        <v>184</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290</v>
      </c>
      <c r="M273" s="329"/>
      <c r="N273" s="322"/>
      <c r="O273" s="1650"/>
      <c r="P273" s="1650"/>
    </row>
    <row s="1661" customFormat="1" customHeight="1" ht="18.75" hidden="1">
      <c r="A274" s="1806"/>
      <c r="B274" s="1806"/>
      <c r="C274" s="361" t="s">
        <v>1041</v>
      </c>
      <c r="D274" s="2292"/>
      <c r="E274" s="2037"/>
      <c r="F274" s="2207"/>
      <c r="G274" s="2253"/>
      <c r="H274" s="1518"/>
      <c r="I274" s="646" t="s">
        <v>1040</v>
      </c>
      <c r="J274" s="567"/>
      <c r="K274" s="1518"/>
      <c r="L274" s="193"/>
      <c r="M274" s="329"/>
      <c r="N274" s="322"/>
      <c r="O274" s="1650"/>
      <c r="P274" s="1650"/>
    </row>
    <row s="1661" customFormat="1" customHeight="1" ht="0.75" hidden="1">
      <c r="A275" s="1806"/>
      <c r="B275" s="1806"/>
      <c r="C275" s="361" t="s">
        <v>1048</v>
      </c>
      <c r="D275" s="2292"/>
      <c r="E275" s="2037"/>
      <c r="F275" s="2207"/>
      <c r="G275" s="397"/>
      <c r="H275" s="1518"/>
      <c r="I275" s="646"/>
      <c r="J275" s="567"/>
      <c r="K275" s="1518"/>
      <c r="L275" s="193"/>
      <c r="M275" s="329"/>
      <c r="N275" s="322"/>
      <c r="O275" s="1650"/>
      <c r="P275" s="1650"/>
    </row>
    <row s="1661" customFormat="1" customHeight="1" ht="18.75" hidden="1">
      <c r="A276" s="1806" t="s">
        <v>189</v>
      </c>
      <c r="B276" s="1806" t="s">
        <v>190</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290</v>
      </c>
      <c r="M276" s="329"/>
      <c r="N276" s="322"/>
      <c r="O276" s="1650"/>
      <c r="P276" s="1650"/>
    </row>
    <row s="1661" customFormat="1" customHeight="1" ht="18.75" hidden="1">
      <c r="A277" s="1806"/>
      <c r="B277" s="1806"/>
      <c r="C277" s="361" t="s">
        <v>1041</v>
      </c>
      <c r="D277" s="2292"/>
      <c r="E277" s="2037"/>
      <c r="F277" s="2207"/>
      <c r="G277" s="2253"/>
      <c r="H277" s="1518"/>
      <c r="I277" s="646" t="s">
        <v>1040</v>
      </c>
      <c r="J277" s="567"/>
      <c r="K277" s="1518"/>
      <c r="L277" s="193"/>
      <c r="M277" s="329"/>
      <c r="N277" s="322"/>
      <c r="O277" s="1650"/>
      <c r="P277" s="1650"/>
    </row>
    <row s="1661" customFormat="1" customHeight="1" ht="0.75" hidden="1">
      <c r="A278" s="1806"/>
      <c r="B278" s="1806"/>
      <c r="C278" s="361" t="s">
        <v>1048</v>
      </c>
      <c r="D278" s="2292"/>
      <c r="E278" s="2037"/>
      <c r="F278" s="2207"/>
      <c r="G278" s="397"/>
      <c r="H278" s="1518"/>
      <c r="I278" s="646"/>
      <c r="J278" s="567"/>
      <c r="K278" s="1518"/>
      <c r="L278" s="193"/>
      <c r="M278" s="329"/>
      <c r="N278" s="322"/>
      <c r="O278" s="1650"/>
      <c r="P278" s="1650"/>
    </row>
    <row s="1661" customFormat="1" customHeight="1" ht="18.75" hidden="1">
      <c r="A279" s="1806" t="s">
        <v>195</v>
      </c>
      <c r="B279" s="1806" t="s">
        <v>196</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290</v>
      </c>
      <c r="M279" s="329"/>
      <c r="N279" s="322"/>
      <c r="O279" s="1650"/>
      <c r="P279" s="1650"/>
    </row>
    <row s="1661" customFormat="1" customHeight="1" ht="18.75" hidden="1">
      <c r="A280" s="1806"/>
      <c r="B280" s="1806"/>
      <c r="C280" s="361" t="s">
        <v>1041</v>
      </c>
      <c r="D280" s="2292"/>
      <c r="E280" s="2037"/>
      <c r="F280" s="2207"/>
      <c r="G280" s="2253"/>
      <c r="H280" s="1518"/>
      <c r="I280" s="646" t="s">
        <v>1040</v>
      </c>
      <c r="J280" s="567"/>
      <c r="K280" s="1518"/>
      <c r="L280" s="193"/>
      <c r="M280" s="329"/>
      <c r="N280" s="322"/>
      <c r="O280" s="1650"/>
      <c r="P280" s="1650"/>
    </row>
    <row s="1661" customFormat="1" customHeight="1" ht="0.75" hidden="1">
      <c r="A281" s="1806"/>
      <c r="B281" s="1806"/>
      <c r="C281" s="361" t="s">
        <v>1048</v>
      </c>
      <c r="D281" s="2292"/>
      <c r="E281" s="2037"/>
      <c r="F281" s="2207"/>
      <c r="G281" s="397"/>
      <c r="H281" s="1518"/>
      <c r="I281" s="646"/>
      <c r="J281" s="567"/>
      <c r="K281" s="1518"/>
      <c r="L281" s="193"/>
      <c r="M281" s="329"/>
      <c r="N281" s="322"/>
      <c r="O281" s="1650"/>
      <c r="P281" s="1650"/>
    </row>
    <row s="1661" customFormat="1" customHeight="1" ht="18.75" hidden="1">
      <c r="A282" s="1806" t="s">
        <v>209</v>
      </c>
      <c r="B282" s="1806" t="s">
        <v>210</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290</v>
      </c>
      <c r="M282" s="329"/>
      <c r="N282" s="322"/>
      <c r="O282" s="1650"/>
      <c r="P282" s="1650"/>
    </row>
    <row s="1661" customFormat="1" customHeight="1" ht="18.75" hidden="1">
      <c r="A283" s="1806"/>
      <c r="B283" s="1806"/>
      <c r="C283" s="361" t="s">
        <v>1041</v>
      </c>
      <c r="D283" s="2292"/>
      <c r="E283" s="2037"/>
      <c r="F283" s="2207"/>
      <c r="G283" s="2253"/>
      <c r="H283" s="1518"/>
      <c r="I283" s="646" t="s">
        <v>1040</v>
      </c>
      <c r="J283" s="567"/>
      <c r="K283" s="1518"/>
      <c r="L283" s="193"/>
      <c r="M283" s="329"/>
      <c r="N283" s="322"/>
      <c r="O283" s="1650"/>
      <c r="P283" s="1650"/>
    </row>
    <row s="1661" customFormat="1" customHeight="1" ht="0.75" hidden="1">
      <c r="A284" s="1806"/>
      <c r="B284" s="1806"/>
      <c r="C284" s="361" t="s">
        <v>1048</v>
      </c>
      <c r="D284" s="2292"/>
      <c r="E284" s="2037"/>
      <c r="F284" s="2207"/>
      <c r="G284" s="397"/>
      <c r="H284" s="1518"/>
      <c r="I284" s="646"/>
      <c r="J284" s="567"/>
      <c r="K284" s="1518"/>
      <c r="L284" s="193"/>
      <c r="M284" s="329"/>
      <c r="N284" s="322"/>
      <c r="O284" s="1650"/>
      <c r="P284" s="1650"/>
    </row>
    <row s="1661" customFormat="1" customHeight="1" ht="18.75" hidden="1">
      <c r="A285" s="1806" t="s">
        <v>214</v>
      </c>
      <c r="B285" s="1806" t="s">
        <v>215</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290</v>
      </c>
      <c r="M285" s="329"/>
      <c r="N285" s="322"/>
      <c r="O285" s="1650"/>
      <c r="P285" s="1650"/>
    </row>
    <row s="1661" customFormat="1" customHeight="1" ht="18.75" hidden="1">
      <c r="A286" s="1806"/>
      <c r="B286" s="1806"/>
      <c r="C286" s="361" t="s">
        <v>1041</v>
      </c>
      <c r="D286" s="2292"/>
      <c r="E286" s="2037"/>
      <c r="F286" s="2207"/>
      <c r="G286" s="2253"/>
      <c r="H286" s="1518"/>
      <c r="I286" s="646" t="s">
        <v>1040</v>
      </c>
      <c r="J286" s="567"/>
      <c r="K286" s="1518"/>
      <c r="L286" s="193"/>
      <c r="M286" s="329"/>
      <c r="N286" s="322"/>
      <c r="O286" s="1650"/>
      <c r="P286" s="1650"/>
    </row>
    <row s="1661" customFormat="1" customHeight="1" ht="0.75" hidden="1">
      <c r="A287" s="1806"/>
      <c r="B287" s="1806"/>
      <c r="C287" s="361" t="s">
        <v>1048</v>
      </c>
      <c r="D287" s="2292"/>
      <c r="E287" s="2037"/>
      <c r="F287" s="2207"/>
      <c r="G287" s="397"/>
      <c r="H287" s="1518"/>
      <c r="I287" s="646"/>
      <c r="J287" s="567"/>
      <c r="K287" s="1518"/>
      <c r="L287" s="193"/>
      <c r="M287" s="329"/>
      <c r="N287" s="322"/>
      <c r="O287" s="1650"/>
      <c r="P287" s="1650"/>
    </row>
    <row s="1661" customFormat="1" customHeight="1" ht="18.75" hidden="1">
      <c r="A288" s="1806" t="s">
        <v>219</v>
      </c>
      <c r="B288" s="1806" t="s">
        <v>220</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290</v>
      </c>
      <c r="M288" s="329"/>
      <c r="N288" s="322"/>
      <c r="O288" s="1650"/>
      <c r="P288" s="1650"/>
    </row>
    <row s="1661" customFormat="1" customHeight="1" ht="18.75" hidden="1">
      <c r="A289" s="1806"/>
      <c r="B289" s="1806"/>
      <c r="C289" s="361" t="s">
        <v>1041</v>
      </c>
      <c r="D289" s="2292"/>
      <c r="E289" s="2037"/>
      <c r="F289" s="2207"/>
      <c r="G289" s="2253"/>
      <c r="H289" s="1518"/>
      <c r="I289" s="646" t="s">
        <v>1040</v>
      </c>
      <c r="J289" s="567"/>
      <c r="K289" s="1518"/>
      <c r="L289" s="193"/>
      <c r="M289" s="329"/>
      <c r="N289" s="322"/>
      <c r="O289" s="1650"/>
      <c r="P289" s="1650"/>
    </row>
    <row s="1661" customFormat="1" customHeight="1" ht="0.75" hidden="1">
      <c r="A290" s="1806"/>
      <c r="B290" s="1806"/>
      <c r="C290" s="361" t="s">
        <v>1048</v>
      </c>
      <c r="D290" s="2292"/>
      <c r="E290" s="2037"/>
      <c r="F290" s="2207"/>
      <c r="G290" s="397"/>
      <c r="H290" s="1518"/>
      <c r="I290" s="646"/>
      <c r="J290" s="567"/>
      <c r="K290" s="1518"/>
      <c r="L290" s="193"/>
      <c r="M290" s="329"/>
      <c r="N290" s="322"/>
      <c r="O290" s="1650"/>
      <c r="P290" s="1650"/>
    </row>
    <row s="1661" customFormat="1" customHeight="1" ht="18.75" hidden="1">
      <c r="A291" s="1806" t="s">
        <v>224</v>
      </c>
      <c r="B291" s="1806" t="s">
        <v>225</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290</v>
      </c>
      <c r="M291" s="329"/>
      <c r="N291" s="322"/>
      <c r="O291" s="1650"/>
      <c r="P291" s="1650"/>
    </row>
    <row s="1661" customFormat="1" customHeight="1" ht="18.75" hidden="1">
      <c r="A292" s="1806"/>
      <c r="B292" s="1806"/>
      <c r="C292" s="361" t="s">
        <v>1041</v>
      </c>
      <c r="D292" s="2292"/>
      <c r="E292" s="2037"/>
      <c r="F292" s="2207"/>
      <c r="G292" s="2253"/>
      <c r="H292" s="1518"/>
      <c r="I292" s="646" t="s">
        <v>1040</v>
      </c>
      <c r="J292" s="567"/>
      <c r="K292" s="1518"/>
      <c r="L292" s="193"/>
      <c r="M292" s="329"/>
      <c r="N292" s="322"/>
      <c r="O292" s="1650"/>
      <c r="P292" s="1650"/>
    </row>
    <row s="1661" customFormat="1" customHeight="1" ht="0.75" hidden="1">
      <c r="A293" s="1806"/>
      <c r="B293" s="1806"/>
      <c r="C293" s="361" t="s">
        <v>1048</v>
      </c>
      <c r="D293" s="2292"/>
      <c r="E293" s="2037"/>
      <c r="F293" s="2207"/>
      <c r="G293" s="397"/>
      <c r="H293" s="1518"/>
      <c r="I293" s="646"/>
      <c r="J293" s="567"/>
      <c r="K293" s="1518"/>
      <c r="L293" s="193"/>
      <c r="M293" s="329"/>
      <c r="N293" s="322"/>
      <c r="O293" s="1650"/>
      <c r="P293" s="1650"/>
    </row>
    <row s="1661" customFormat="1" customHeight="1" ht="18.75" hidden="1">
      <c r="A294" s="1806" t="s">
        <v>229</v>
      </c>
      <c r="B294" s="1806" t="s">
        <v>230</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290</v>
      </c>
      <c r="M294" s="329"/>
      <c r="N294" s="322"/>
      <c r="O294" s="1650"/>
      <c r="P294" s="1650"/>
    </row>
    <row s="1661" customFormat="1" customHeight="1" ht="18.75" hidden="1">
      <c r="A295" s="1806"/>
      <c r="B295" s="1806"/>
      <c r="C295" s="361" t="s">
        <v>1041</v>
      </c>
      <c r="D295" s="2292"/>
      <c r="E295" s="2037"/>
      <c r="F295" s="2207"/>
      <c r="G295" s="2253"/>
      <c r="H295" s="1518"/>
      <c r="I295" s="646" t="s">
        <v>1040</v>
      </c>
      <c r="J295" s="567"/>
      <c r="K295" s="1518"/>
      <c r="L295" s="193"/>
      <c r="M295" s="329"/>
      <c r="N295" s="322"/>
      <c r="O295" s="1650"/>
      <c r="P295" s="1650"/>
    </row>
    <row s="1661" customFormat="1" customHeight="1" ht="0.75" hidden="1">
      <c r="A296" s="1806"/>
      <c r="B296" s="1806"/>
      <c r="C296" s="361" t="s">
        <v>1048</v>
      </c>
      <c r="D296" s="2292"/>
      <c r="E296" s="2037"/>
      <c r="F296" s="2207"/>
      <c r="G296" s="397"/>
      <c r="H296" s="1518"/>
      <c r="I296" s="646"/>
      <c r="J296" s="567"/>
      <c r="K296" s="1518"/>
      <c r="L296" s="193"/>
      <c r="M296" s="329"/>
      <c r="N296" s="322"/>
      <c r="O296" s="1650"/>
      <c r="P296" s="1650"/>
    </row>
    <row s="1661" customFormat="1" customHeight="1" ht="18.75" hidden="1">
      <c r="A297" s="1806" t="s">
        <v>234</v>
      </c>
      <c r="B297" s="1806" t="s">
        <v>235</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290</v>
      </c>
      <c r="M297" s="329"/>
      <c r="N297" s="322"/>
      <c r="O297" s="1650"/>
      <c r="P297" s="1650"/>
    </row>
    <row s="1661" customFormat="1" customHeight="1" ht="18.75" hidden="1">
      <c r="A298" s="1806"/>
      <c r="B298" s="1806"/>
      <c r="C298" s="361" t="s">
        <v>1041</v>
      </c>
      <c r="D298" s="2292"/>
      <c r="E298" s="2037"/>
      <c r="F298" s="2207"/>
      <c r="G298" s="2253"/>
      <c r="H298" s="1518"/>
      <c r="I298" s="646" t="s">
        <v>1040</v>
      </c>
      <c r="J298" s="567"/>
      <c r="K298" s="1518"/>
      <c r="L298" s="193"/>
      <c r="M298" s="329"/>
      <c r="N298" s="322"/>
      <c r="O298" s="1650"/>
      <c r="P298" s="1650"/>
    </row>
    <row s="1661" customFormat="1" customHeight="1" ht="0.75" hidden="1">
      <c r="A299" s="1806"/>
      <c r="B299" s="1806"/>
      <c r="C299" s="361" t="s">
        <v>1048</v>
      </c>
      <c r="D299" s="2292"/>
      <c r="E299" s="2037"/>
      <c r="F299" s="2207"/>
      <c r="G299" s="397"/>
      <c r="H299" s="1518"/>
      <c r="I299" s="646"/>
      <c r="J299" s="567"/>
      <c r="K299" s="1518"/>
      <c r="L299" s="193"/>
      <c r="M299" s="329"/>
      <c r="N299" s="322"/>
      <c r="O299" s="1650"/>
      <c r="P299" s="1650"/>
    </row>
    <row s="1661" customFormat="1" customHeight="1" ht="18.75" hidden="1">
      <c r="A300" s="1806" t="s">
        <v>239</v>
      </c>
      <c r="B300" s="1806" t="s">
        <v>240</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290</v>
      </c>
      <c r="M300" s="329"/>
      <c r="N300" s="322"/>
      <c r="O300" s="1650"/>
      <c r="P300" s="1650"/>
    </row>
    <row s="1661" customFormat="1" customHeight="1" ht="18.75" hidden="1">
      <c r="A301" s="1806"/>
      <c r="B301" s="1806"/>
      <c r="C301" s="361" t="s">
        <v>1041</v>
      </c>
      <c r="D301" s="2292"/>
      <c r="E301" s="2037"/>
      <c r="F301" s="2207"/>
      <c r="G301" s="2253"/>
      <c r="H301" s="1518"/>
      <c r="I301" s="646" t="s">
        <v>1040</v>
      </c>
      <c r="J301" s="567"/>
      <c r="K301" s="1518"/>
      <c r="L301" s="193"/>
      <c r="M301" s="329"/>
      <c r="N301" s="322"/>
      <c r="O301" s="1650"/>
      <c r="P301" s="1650"/>
    </row>
    <row s="1661" customFormat="1" customHeight="1" ht="0.75" hidden="1">
      <c r="A302" s="1806"/>
      <c r="B302" s="1806"/>
      <c r="C302" s="361" t="s">
        <v>1048</v>
      </c>
      <c r="D302" s="2292"/>
      <c r="E302" s="2037"/>
      <c r="F302" s="2207"/>
      <c r="G302" s="397"/>
      <c r="H302" s="1518"/>
      <c r="I302" s="646"/>
      <c r="J302" s="567"/>
      <c r="K302" s="1518"/>
      <c r="L302" s="193"/>
      <c r="M302" s="329"/>
      <c r="N302" s="322"/>
      <c r="O302" s="1650"/>
      <c r="P302" s="1650"/>
    </row>
    <row s="1661" customFormat="1" customHeight="1" ht="18.75" hidden="1">
      <c r="A303" s="1806" t="s">
        <v>244</v>
      </c>
      <c r="B303" s="1806" t="s">
        <v>245</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290</v>
      </c>
      <c r="M303" s="329"/>
      <c r="N303" s="322"/>
      <c r="O303" s="1650"/>
      <c r="P303" s="1650"/>
    </row>
    <row s="1661" customFormat="1" customHeight="1" ht="18.75" hidden="1">
      <c r="A304" s="1806"/>
      <c r="B304" s="1806"/>
      <c r="C304" s="361" t="s">
        <v>1041</v>
      </c>
      <c r="D304" s="2292"/>
      <c r="E304" s="2037"/>
      <c r="F304" s="2207"/>
      <c r="G304" s="2253"/>
      <c r="H304" s="1518"/>
      <c r="I304" s="646" t="s">
        <v>1040</v>
      </c>
      <c r="J304" s="567"/>
      <c r="K304" s="1518"/>
      <c r="L304" s="193"/>
      <c r="M304" s="329"/>
      <c r="N304" s="322"/>
      <c r="O304" s="1650"/>
      <c r="P304" s="1650"/>
    </row>
    <row s="1661" customFormat="1" customHeight="1" ht="0.75" hidden="1">
      <c r="A305" s="1806"/>
      <c r="B305" s="1806"/>
      <c r="C305" s="361" t="s">
        <v>1048</v>
      </c>
      <c r="D305" s="2292"/>
      <c r="E305" s="2037"/>
      <c r="F305" s="2207"/>
      <c r="G305" s="397"/>
      <c r="H305" s="1518"/>
      <c r="I305" s="646"/>
      <c r="J305" s="567"/>
      <c r="K305" s="1518"/>
      <c r="L305" s="193"/>
      <c r="M305" s="329"/>
      <c r="N305" s="322"/>
      <c r="O305" s="1650"/>
      <c r="P305" s="1650"/>
    </row>
    <row s="1661" customFormat="1" customHeight="1" ht="18.75" hidden="1">
      <c r="A306" s="1806" t="s">
        <v>249</v>
      </c>
      <c r="B306" s="1806" t="s">
        <v>250</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290</v>
      </c>
      <c r="M306" s="329"/>
      <c r="N306" s="322"/>
      <c r="O306" s="1650"/>
      <c r="P306" s="1650"/>
    </row>
    <row s="1661" customFormat="1" customHeight="1" ht="18.75" hidden="1">
      <c r="A307" s="1806"/>
      <c r="B307" s="1806"/>
      <c r="C307" s="361" t="s">
        <v>1041</v>
      </c>
      <c r="D307" s="2292"/>
      <c r="E307" s="2037"/>
      <c r="F307" s="2207"/>
      <c r="G307" s="2253"/>
      <c r="H307" s="1518"/>
      <c r="I307" s="646" t="s">
        <v>1040</v>
      </c>
      <c r="J307" s="567"/>
      <c r="K307" s="1518"/>
      <c r="L307" s="193"/>
      <c r="M307" s="329"/>
      <c r="N307" s="322"/>
      <c r="O307" s="1650"/>
      <c r="P307" s="1650"/>
    </row>
    <row s="1661" customFormat="1" customHeight="1" ht="0.75" hidden="1">
      <c r="A308" s="1806"/>
      <c r="B308" s="1806"/>
      <c r="C308" s="361" t="s">
        <v>1048</v>
      </c>
      <c r="D308" s="2292"/>
      <c r="E308" s="2037"/>
      <c r="F308" s="2207"/>
      <c r="G308" s="397"/>
      <c r="H308" s="1518"/>
      <c r="I308" s="646"/>
      <c r="J308" s="567"/>
      <c r="K308" s="1518"/>
      <c r="L308" s="193"/>
      <c r="M308" s="329"/>
      <c r="N308" s="322"/>
      <c r="O308" s="1650"/>
      <c r="P308" s="1650"/>
    </row>
    <row s="1661" customFormat="1" customHeight="1" ht="18.75" hidden="1">
      <c r="A309" s="1806" t="s">
        <v>254</v>
      </c>
      <c r="B309" s="1806" t="s">
        <v>255</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290</v>
      </c>
      <c r="M309" s="329"/>
      <c r="N309" s="322"/>
      <c r="O309" s="1650"/>
      <c r="P309" s="1650"/>
    </row>
    <row s="1661" customFormat="1" customHeight="1" ht="18.75" hidden="1">
      <c r="A310" s="1806"/>
      <c r="B310" s="1806"/>
      <c r="C310" s="361" t="s">
        <v>1041</v>
      </c>
      <c r="D310" s="2292"/>
      <c r="E310" s="2037"/>
      <c r="F310" s="2207"/>
      <c r="G310" s="2253"/>
      <c r="H310" s="1518"/>
      <c r="I310" s="646" t="s">
        <v>1040</v>
      </c>
      <c r="J310" s="567"/>
      <c r="K310" s="1518"/>
      <c r="L310" s="193"/>
      <c r="M310" s="329"/>
      <c r="N310" s="322"/>
      <c r="O310" s="1650"/>
      <c r="P310" s="1650"/>
    </row>
    <row s="1661" customFormat="1" customHeight="1" ht="0.75" hidden="1">
      <c r="A311" s="1806"/>
      <c r="B311" s="1806"/>
      <c r="C311" s="361" t="s">
        <v>1048</v>
      </c>
      <c r="D311" s="2292"/>
      <c r="E311" s="2037"/>
      <c r="F311" s="2207"/>
      <c r="G311" s="397"/>
      <c r="H311" s="1518"/>
      <c r="I311" s="646"/>
      <c r="J311" s="567"/>
      <c r="K311" s="1518"/>
      <c r="L311" s="193"/>
      <c r="M311" s="329"/>
      <c r="N311" s="322"/>
      <c r="O311" s="1650"/>
      <c r="P311" s="1650"/>
    </row>
    <row s="1661" customFormat="1" customHeight="1" ht="18.75" hidden="1">
      <c r="A312" s="1806" t="s">
        <v>259</v>
      </c>
      <c r="B312" s="1806" t="s">
        <v>260</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290</v>
      </c>
      <c r="M312" s="329"/>
      <c r="N312" s="322"/>
      <c r="O312" s="1650"/>
      <c r="P312" s="1650"/>
    </row>
    <row s="1661" customFormat="1" customHeight="1" ht="18.75" hidden="1">
      <c r="A313" s="1806"/>
      <c r="B313" s="1806"/>
      <c r="C313" s="361" t="s">
        <v>1041</v>
      </c>
      <c r="D313" s="2292"/>
      <c r="E313" s="2037"/>
      <c r="F313" s="2207"/>
      <c r="G313" s="2253"/>
      <c r="H313" s="1518"/>
      <c r="I313" s="646" t="s">
        <v>1040</v>
      </c>
      <c r="J313" s="567"/>
      <c r="K313" s="1518"/>
      <c r="L313" s="193"/>
      <c r="M313" s="329"/>
      <c r="N313" s="322"/>
      <c r="O313" s="1650"/>
      <c r="P313" s="1650"/>
    </row>
    <row s="1661" customFormat="1" customHeight="1" ht="0.75">
      <c r="A314" s="1806"/>
      <c r="B314" s="1806"/>
      <c r="C314" s="361" t="s">
        <v>1048</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30905-8266-F37B-6348-DDDCDB7B720E}"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1021</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93"/>
      <c r="F5" s="2193"/>
      <c r="G5" s="2194"/>
      <c r="H5" s="245"/>
    </row>
    <row s="1661" customFormat="1" customHeight="1" ht="17.25">
      <c r="A6" s="1695"/>
      <c r="B6" s="1156"/>
      <c r="C6" s="368"/>
      <c r="D6" s="2195" t="str">
        <f>IF(org=0,"Не определено",org)</f>
        <v>ИМУП «ПОСЖИЛКОМСЕРВИС»</v>
      </c>
      <c r="E6" s="2196"/>
      <c r="F6" s="2196"/>
      <c r="G6" s="2197"/>
      <c r="H6" s="245"/>
      <c r="J6" s="1650"/>
      <c r="K6" s="1650"/>
    </row>
    <row customHeight="1" ht="14.25">
      <c r="C7" s="368"/>
      <c r="D7" s="353"/>
      <c r="E7" s="386"/>
      <c r="F7" s="386"/>
      <c r="G7" s="748"/>
      <c r="H7" s="172"/>
    </row>
    <row customHeight="1" ht="14.25">
      <c r="C8" s="368"/>
      <c r="D8" s="2043" t="s">
        <v>284</v>
      </c>
      <c r="E8" s="2043"/>
      <c r="F8" s="2043"/>
      <c r="G8" s="2043"/>
      <c r="H8" s="2283" t="s">
        <v>285</v>
      </c>
    </row>
    <row customHeight="1" ht="14.25">
      <c r="C9" s="368"/>
      <c r="D9" s="383" t="s">
        <v>84</v>
      </c>
      <c r="E9" s="88" t="s">
        <v>286</v>
      </c>
      <c r="F9" s="88" t="s">
        <v>287</v>
      </c>
      <c r="G9" s="88" t="s">
        <v>376</v>
      </c>
      <c r="H9" s="2283"/>
    </row>
    <row customHeight="1" ht="33.75">
      <c r="A10" s="331"/>
      <c r="C10" s="368"/>
      <c r="D10" s="127" t="s">
        <v>106</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36"/>
      <c r="G10" s="192"/>
      <c r="H10" s="1996" t="s">
        <v>1049</v>
      </c>
    </row>
    <row customHeight="1" ht="33.75">
      <c r="A11" s="331"/>
      <c r="C11" s="368"/>
      <c r="D11" s="127" t="s">
        <v>107</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36"/>
      <c r="G11" s="192"/>
      <c r="H11" s="1997"/>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1016</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C5A46-606C-BD1A-D13B-C6C48FE64199}"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384" width="50.8515625" customWidth="1"/>
    <col min="12" max="20" style="1661" width="10.57421875"/>
    <col min="21" max="21" style="670" width="10.57421875"/>
  </cols>
  <sheetData>
    <row s="1384" customFormat="1" customHeight="1" ht="15" hidden="1">
      <c r="C1" s="667"/>
      <c r="G1" s="414">
        <v>4</v>
      </c>
      <c r="I1" s="414">
        <v>4</v>
      </c>
      <c r="U1" s="417"/>
    </row>
    <row s="1661" customFormat="1" customHeight="1" ht="15" hidden="1">
      <c r="A2" s="352"/>
      <c r="C2" s="156"/>
      <c r="D2" s="334"/>
      <c r="E2" s="668"/>
      <c r="F2" s="518"/>
      <c r="G2" s="612"/>
      <c r="H2" s="612"/>
      <c r="I2" s="612"/>
      <c r="J2" s="612"/>
      <c r="U2" s="669"/>
    </row>
    <row s="1384" customFormat="1" customHeight="1" ht="15" hidden="1">
      <c r="C3" s="667"/>
      <c r="U3" s="417"/>
    </row>
    <row customHeight="1" ht="15">
      <c r="C4" s="156"/>
      <c r="D4" s="505"/>
      <c r="E4" s="505"/>
      <c r="F4" s="505"/>
      <c r="G4" s="505"/>
      <c r="H4" s="505"/>
      <c r="I4" s="505"/>
      <c r="J4" s="505"/>
    </row>
    <row customHeight="1" ht="63">
      <c r="C5" s="156"/>
      <c r="D5" s="2066" t="s">
        <v>1050</v>
      </c>
      <c r="E5" s="2066"/>
      <c r="F5" s="2066"/>
      <c r="G5" s="2066"/>
      <c r="H5" s="2066"/>
      <c r="I5" s="2066"/>
      <c r="J5" s="2066"/>
    </row>
    <row customHeight="1" ht="15">
      <c r="C6" s="156"/>
      <c r="D6" s="2034" t="str">
        <f>IF(org=0,"Не определено",org)</f>
        <v>ИМУП «ПОСЖИЛКОМСЕРВИС»</v>
      </c>
      <c r="E6" s="2034"/>
      <c r="F6" s="2034"/>
      <c r="G6" s="2034"/>
      <c r="H6" s="2034"/>
      <c r="I6" s="2034"/>
      <c r="J6" s="2034"/>
      <c r="K6" s="533"/>
    </row>
    <row customHeight="1" ht="15">
      <c r="C7" s="156"/>
      <c r="D7" s="748"/>
      <c r="E7" s="505"/>
      <c r="F7" s="505"/>
      <c r="G7" s="533">
        <v>22</v>
      </c>
      <c r="I7" s="533">
        <v>1</v>
      </c>
      <c r="J7" s="748"/>
    </row>
    <row s="1661" customFormat="1" customHeight="1" ht="0.75">
      <c r="A8" s="755"/>
      <c r="C8" s="156"/>
      <c r="D8" s="505"/>
      <c r="E8" s="505"/>
      <c r="F8" s="505"/>
      <c r="G8" s="533"/>
      <c r="H8" s="748"/>
      <c r="I8" s="533" t="s">
        <v>114</v>
      </c>
      <c r="J8" s="748"/>
      <c r="K8" s="414"/>
      <c r="U8" s="670"/>
    </row>
    <row customHeight="1" ht="15">
      <c r="C9" s="156"/>
      <c r="D9" s="706"/>
      <c r="E9" s="2200" t="s">
        <v>102</v>
      </c>
      <c r="F9" s="2201"/>
      <c r="G9" s="2223" t="str">
        <f>IF(G8="","",INDEX(DIFFERENTIATION_UNMERGE_VD,MATCH(G8,DIFFERENTIATION_ID_DIFF,0)))</f>
        <v/>
      </c>
      <c r="H9" s="2224"/>
      <c r="I9" s="2223" t="str">
        <f>IF(I8="","",INDEX(DIFFERENTIATION_UNMERGE_VD,MATCH(I8,DIFFERENTIATION_ID_DIFF,0)))</f>
        <v>Горячее водоснабжение</v>
      </c>
      <c r="J9" s="2224"/>
      <c r="K9" s="2009" t="s">
        <v>285</v>
      </c>
    </row>
    <row s="1661" customFormat="1" customHeight="1" ht="15">
      <c r="A10" s="755"/>
      <c r="C10" s="156"/>
      <c r="D10" s="706"/>
      <c r="E10" s="2200" t="s">
        <v>542</v>
      </c>
      <c r="F10" s="2201"/>
      <c r="G10" s="2223" t="str">
        <f>IF(G8="","",INDEX(DIFFERENTIATION_UNMERGE_AREA,MATCH(G8,DIFFERENTIATION_ID_DIFF,0)))</f>
        <v/>
      </c>
      <c r="H10" s="2224"/>
      <c r="I10" s="2223" t="str">
        <f>IF(I8="","",INDEX(DIFFERENTIATION_UNMERGE_AREA,MATCH(I8,DIFFERENTIATION_ID_DIFF,0)))</f>
        <v>Территория 1</v>
      </c>
      <c r="J10" s="2224"/>
      <c r="K10" s="2017"/>
      <c r="U10" s="670"/>
    </row>
    <row s="1661" customFormat="1" customHeight="1" ht="15">
      <c r="A11" s="755"/>
      <c r="C11" s="156"/>
      <c r="D11" s="706"/>
      <c r="E11" s="2200" t="s">
        <v>543</v>
      </c>
      <c r="F11" s="2201"/>
      <c r="G11" s="2223" t="str">
        <f>IF(G8="","",INDEX(DIFFERENTIATION_UNMERGE_SYSTEM,MATCH(G8,DIFFERENTIATION_ID_DIFF,0)))</f>
        <v/>
      </c>
      <c r="H11" s="2224"/>
      <c r="I11" s="2223" t="str">
        <f>IF(I8="","",INDEX(DIFFERENTIATION_UNMERGE_SYSTEM,MATCH(I8,DIFFERENTIATION_ID_DIFF,0)))</f>
        <v>без дифференциации</v>
      </c>
      <c r="J11" s="2224"/>
      <c r="K11" s="2017"/>
      <c r="U11" s="670"/>
    </row>
    <row s="1661" customFormat="1" customHeight="1" ht="15">
      <c r="A12" s="755"/>
      <c r="C12" s="156"/>
      <c r="D12" s="2202" t="s">
        <v>284</v>
      </c>
      <c r="E12" s="2203"/>
      <c r="F12" s="2203"/>
      <c r="G12" s="882"/>
      <c r="H12" s="882"/>
      <c r="I12" s="882"/>
      <c r="J12" s="882"/>
      <c r="K12" s="2017"/>
      <c r="U12" s="670"/>
    </row>
    <row customHeight="1" ht="33.75">
      <c r="C13" s="156"/>
      <c r="D13" s="800" t="s">
        <v>84</v>
      </c>
      <c r="E13" s="802" t="s">
        <v>286</v>
      </c>
      <c r="F13" s="802" t="s">
        <v>544</v>
      </c>
      <c r="G13" s="803" t="s">
        <v>287</v>
      </c>
      <c r="H13" s="802" t="s">
        <v>376</v>
      </c>
      <c r="I13" s="803" t="s">
        <v>287</v>
      </c>
      <c r="J13" s="802" t="s">
        <v>376</v>
      </c>
      <c r="K13" s="2071"/>
    </row>
    <row customHeight="1" ht="15" hidden="1">
      <c r="C14" s="156"/>
      <c r="D14" s="589" t="s">
        <v>106</v>
      </c>
      <c r="E14" s="589" t="s">
        <v>107</v>
      </c>
      <c r="F14" s="589" t="s">
        <v>86</v>
      </c>
      <c r="G14" s="654" t="str">
        <f>G1&amp;".1"</f>
        <v>4.1</v>
      </c>
      <c r="H14" s="654"/>
      <c r="I14" s="654" t="str">
        <f>I1&amp;".1"</f>
        <v>4.1</v>
      </c>
      <c r="J14" s="654"/>
      <c r="K14" s="270"/>
    </row>
    <row customHeight="1" ht="22.5" hidden="1">
      <c r="A15" s="501"/>
      <c r="C15" s="522"/>
      <c r="D15" s="517">
        <v>1</v>
      </c>
      <c r="E15" s="672" t="s">
        <v>701</v>
      </c>
      <c r="F15" s="517" t="s">
        <v>702</v>
      </c>
      <c r="G15" s="673"/>
      <c r="H15" s="673"/>
      <c r="I15" s="673"/>
      <c r="J15" s="673"/>
      <c r="K15" s="270" t="s">
        <v>703</v>
      </c>
    </row>
    <row customHeight="1" ht="22.5" hidden="1">
      <c r="A16" s="501"/>
      <c r="C16" s="522"/>
      <c r="D16" s="517">
        <v>2</v>
      </c>
      <c r="E16" s="260" t="s">
        <v>704</v>
      </c>
      <c r="F16" s="517" t="s">
        <v>705</v>
      </c>
      <c r="G16" s="673"/>
      <c r="H16" s="673"/>
      <c r="I16" s="673"/>
      <c r="J16" s="673"/>
      <c r="K16" s="270" t="s">
        <v>706</v>
      </c>
    </row>
    <row customHeight="1" ht="123.75" hidden="1">
      <c r="A17" s="501"/>
      <c r="C17" s="522"/>
      <c r="D17" s="517">
        <v>3</v>
      </c>
      <c r="E17" s="260" t="s">
        <v>1051</v>
      </c>
      <c r="F17" s="517" t="s">
        <v>290</v>
      </c>
      <c r="G17" s="673"/>
      <c r="H17" s="673"/>
      <c r="I17" s="673"/>
      <c r="J17" s="673"/>
      <c r="K17" s="270" t="s">
        <v>1052</v>
      </c>
    </row>
    <row customHeight="1" ht="45">
      <c r="A18" s="501"/>
      <c r="C18" s="522"/>
      <c r="D18" s="517">
        <v>4</v>
      </c>
      <c r="E18" s="260" t="s">
        <v>707</v>
      </c>
      <c r="F18" s="517" t="s">
        <v>290</v>
      </c>
      <c r="G18" s="804" t="s">
        <v>290</v>
      </c>
      <c r="H18" s="805" t="s">
        <v>290</v>
      </c>
      <c r="I18" s="517" t="s">
        <v>290</v>
      </c>
      <c r="J18" s="574" t="s">
        <v>290</v>
      </c>
      <c r="K18" s="270" t="s">
        <v>1053</v>
      </c>
    </row>
    <row customHeight="1" ht="33.75">
      <c r="A19" s="501"/>
      <c r="C19" s="522"/>
      <c r="D19" s="535" t="s">
        <v>645</v>
      </c>
      <c r="E19" s="555" t="s">
        <v>709</v>
      </c>
      <c r="F19" s="517" t="s">
        <v>710</v>
      </c>
      <c r="G19" s="812"/>
      <c r="H19" s="86"/>
      <c r="I19" s="812"/>
      <c r="J19" s="813"/>
      <c r="K19" s="674"/>
    </row>
    <row customHeight="1" ht="33.75">
      <c r="A20" s="501"/>
      <c r="C20" s="522"/>
      <c r="D20" s="535" t="s">
        <v>688</v>
      </c>
      <c r="E20" s="555" t="s">
        <v>711</v>
      </c>
      <c r="F20" s="517" t="s">
        <v>712</v>
      </c>
      <c r="G20" s="812"/>
      <c r="H20" s="86"/>
      <c r="I20" s="812"/>
      <c r="J20" s="86"/>
      <c r="K20" s="674"/>
    </row>
    <row customHeight="1" ht="45">
      <c r="A21" s="501"/>
      <c r="C21" s="522"/>
      <c r="D21" s="535" t="s">
        <v>691</v>
      </c>
      <c r="E21" s="555" t="s">
        <v>713</v>
      </c>
      <c r="F21" s="517" t="s">
        <v>549</v>
      </c>
      <c r="G21" s="675"/>
      <c r="H21" s="86"/>
      <c r="I21" s="675"/>
      <c r="J21" s="86"/>
      <c r="K21" s="674"/>
    </row>
    <row customHeight="1" ht="67.5" hidden="1">
      <c r="A22" s="501"/>
      <c r="C22" s="522"/>
      <c r="D22" s="517">
        <v>5</v>
      </c>
      <c r="E22" s="260" t="s">
        <v>1054</v>
      </c>
      <c r="F22" s="517" t="s">
        <v>536</v>
      </c>
      <c r="G22" s="676"/>
      <c r="H22" s="677"/>
      <c r="I22" s="676"/>
      <c r="J22" s="677"/>
      <c r="K22" s="270" t="s">
        <v>1055</v>
      </c>
    </row>
    <row customHeight="1" ht="33.75" hidden="1">
      <c r="C23" s="447"/>
      <c r="D23" s="517">
        <v>6</v>
      </c>
      <c r="E23" s="260" t="s">
        <v>1056</v>
      </c>
      <c r="F23" s="517" t="s">
        <v>1057</v>
      </c>
      <c r="G23" s="676"/>
      <c r="H23" s="676"/>
      <c r="I23" s="676"/>
      <c r="J23" s="676"/>
      <c r="K23" s="270" t="s">
        <v>1058</v>
      </c>
    </row>
    <row r="29" customHeight="1" ht="15">
      <c r="J29" s="81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C08B-D354-7DEF-DC9C-C72381FA299A}"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1059</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284</v>
      </c>
      <c r="E8" s="2043"/>
      <c r="F8" s="2043"/>
      <c r="G8" s="2043"/>
      <c r="H8" s="2043"/>
      <c r="I8" s="2043" t="s">
        <v>285</v>
      </c>
    </row>
    <row customHeight="1" ht="27.75">
      <c r="D9" s="2043" t="s">
        <v>84</v>
      </c>
      <c r="E9" s="2043" t="s">
        <v>1060</v>
      </c>
      <c r="F9" s="2043"/>
      <c r="G9" s="2043"/>
      <c r="H9" s="2043"/>
      <c r="I9" s="2043"/>
    </row>
    <row customHeight="1" ht="22.5">
      <c r="D10" s="2043"/>
      <c r="E10" s="107" t="s">
        <v>1061</v>
      </c>
      <c r="F10" s="107" t="s">
        <v>1062</v>
      </c>
      <c r="G10" s="107" t="s">
        <v>1063</v>
      </c>
      <c r="H10" s="107" t="s">
        <v>376</v>
      </c>
      <c r="I10" s="2043"/>
    </row>
    <row customHeight="1" ht="12" hidden="1">
      <c r="D11" s="68" t="s">
        <v>106</v>
      </c>
      <c r="E11" s="68" t="s">
        <v>87</v>
      </c>
      <c r="F11" s="68" t="s">
        <v>108</v>
      </c>
      <c r="G11" s="68" t="s">
        <v>88</v>
      </c>
      <c r="H11" s="68" t="s">
        <v>89</v>
      </c>
      <c r="I11" s="68" t="s">
        <v>109</v>
      </c>
    </row>
    <row s="1849" customFormat="1" customHeight="1" ht="24.75">
      <c r="A12" s="125" t="s">
        <v>86</v>
      </c>
      <c r="B12" s="105" t="s">
        <v>18</v>
      </c>
      <c r="C12" s="106"/>
      <c r="D12" s="108" t="s">
        <v>106</v>
      </c>
      <c r="E12" s="378"/>
      <c r="F12" s="378"/>
      <c r="G12" s="1759" t="s">
        <v>18</v>
      </c>
      <c r="H12" s="379"/>
      <c r="I12" s="1996" t="s">
        <v>1064</v>
      </c>
      <c r="K12" s="251"/>
      <c r="L12" s="252"/>
    </row>
    <row customHeight="1" ht="15">
      <c r="A13" s="101"/>
      <c r="B13" s="101"/>
      <c r="C13" s="101"/>
      <c r="D13" s="89"/>
      <c r="E13" s="110" t="s">
        <v>453</v>
      </c>
      <c r="F13" s="109"/>
      <c r="G13" s="109"/>
      <c r="H13" s="193"/>
      <c r="I13" s="1998"/>
    </row>
    <row customHeight="1" ht="3">
      <c r="A14" s="101"/>
      <c r="B14" s="101"/>
      <c r="C14" s="101"/>
    </row>
    <row customHeight="1" ht="27.75">
      <c r="E15" s="2295" t="s">
        <v>1065</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C2948-3AE3-32A9-0194-8F279753A1F2}"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1066</v>
      </c>
      <c r="E7" s="2297"/>
      <c r="F7" s="246"/>
    </row>
    <row customHeight="1" ht="3">
      <c r="C8" s="71"/>
      <c r="D8" s="51"/>
      <c r="E8" s="51"/>
    </row>
    <row customHeight="1" ht="15.75">
      <c r="C9" s="71"/>
      <c r="D9" s="85" t="s">
        <v>84</v>
      </c>
      <c r="E9" s="239" t="s">
        <v>1067</v>
      </c>
    </row>
    <row customHeight="1" ht="0.75">
      <c r="C10" s="71"/>
      <c r="D10" s="68"/>
      <c r="E10" s="68"/>
    </row>
    <row customHeight="1" ht="11.25" hidden="1">
      <c r="C11" s="71"/>
      <c r="D11" s="130">
        <v>0</v>
      </c>
      <c r="E11" s="240"/>
    </row>
    <row customHeight="1" ht="15">
      <c r="C12" s="116"/>
      <c r="D12" s="93">
        <v>1</v>
      </c>
      <c r="E12" s="371"/>
    </row>
    <row customHeight="1" ht="12">
      <c r="C13" s="71"/>
      <c r="D13" s="241"/>
      <c r="E13" s="242" t="s">
        <v>1068</v>
      </c>
    </row>
    <row customHeight="1" ht="3"/>
    <row customHeight="1" ht="22.5">
      <c r="C15" s="117"/>
      <c r="D15" s="2298" t="s">
        <v>1069</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9C12A-FF78-2A0C-FBAA-A83B19F8900F}"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283</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горячего водоснабжения (далее – орган регулирования тарифов)</v>
      </c>
      <c r="E5" s="2073"/>
      <c r="F5" s="2074"/>
      <c r="I5" s="710"/>
    </row>
    <row customHeight="1" ht="17.25">
      <c r="D6" s="2034" t="str">
        <f>IF(region_name=0,"Не определено",region_name)</f>
        <v>Ненецкий автономный округ</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284</v>
      </c>
      <c r="E9" s="2038"/>
      <c r="F9" s="2038"/>
      <c r="G9" s="2042" t="s">
        <v>285</v>
      </c>
    </row>
    <row customHeight="1" ht="11.25">
      <c r="A10" s="498"/>
      <c r="B10" s="498"/>
      <c r="C10" s="453"/>
      <c r="D10" s="1492" t="s">
        <v>84</v>
      </c>
      <c r="E10" s="1494" t="s">
        <v>286</v>
      </c>
      <c r="F10" s="1494" t="s">
        <v>287</v>
      </c>
      <c r="G10" s="2043"/>
    </row>
    <row customHeight="1" ht="0.75">
      <c r="A11" s="498"/>
      <c r="B11" s="498"/>
      <c r="C11" s="453"/>
      <c r="D11" s="460"/>
      <c r="E11" s="460"/>
      <c r="F11" s="460"/>
      <c r="G11" s="460"/>
    </row>
    <row customHeight="1" ht="22.5">
      <c r="A12" s="498"/>
      <c r="B12" s="498"/>
      <c r="C12" s="453"/>
      <c r="D12" s="1538">
        <v>1</v>
      </c>
      <c r="E12" s="470" t="s">
        <v>1070</v>
      </c>
      <c r="F12" s="1885" t="str">
        <f>IF(org="","",org)</f>
        <v>ИМУП «ПОСЖИЛКОМСЕРВИС»</v>
      </c>
      <c r="G12" s="470" t="s">
        <v>1071</v>
      </c>
      <c r="H12" s="1551"/>
    </row>
    <row customHeight="1" ht="18.75">
      <c r="A13" s="498"/>
      <c r="B13" s="498"/>
      <c r="C13" s="453"/>
      <c r="D13" s="1538">
        <v>2</v>
      </c>
      <c r="E13" s="1545" t="s">
        <v>1072</v>
      </c>
      <c r="F13" s="1539" t="s">
        <v>290</v>
      </c>
      <c r="G13" s="470"/>
      <c r="H13" s="1551"/>
    </row>
    <row customHeight="1" ht="18.75">
      <c r="A14" s="498"/>
      <c r="B14" s="498"/>
      <c r="C14" s="453"/>
      <c r="D14" s="1541" t="s">
        <v>600</v>
      </c>
      <c r="E14" s="1542" t="s">
        <v>1073</v>
      </c>
      <c r="F14" s="1544"/>
      <c r="G14" s="1543" t="s">
        <v>1074</v>
      </c>
      <c r="H14" s="1551"/>
    </row>
    <row customHeight="1" ht="18.75">
      <c r="A15" s="498"/>
      <c r="B15" s="498"/>
      <c r="C15" s="453"/>
      <c r="D15" s="1541" t="s">
        <v>291</v>
      </c>
      <c r="E15" s="1542" t="s">
        <v>1075</v>
      </c>
      <c r="F15" s="1544"/>
      <c r="G15" s="1543" t="s">
        <v>1076</v>
      </c>
      <c r="H15" s="1551"/>
    </row>
    <row customHeight="1" ht="36.75">
      <c r="A16" s="498"/>
      <c r="B16" s="498"/>
      <c r="C16" s="453"/>
      <c r="D16" s="1541" t="s">
        <v>294</v>
      </c>
      <c r="E16" s="1540" t="s">
        <v>1077</v>
      </c>
      <c r="F16" s="1549"/>
      <c r="G16" s="470" t="s">
        <v>1078</v>
      </c>
      <c r="H16" s="1551"/>
    </row>
    <row customHeight="1" ht="45">
      <c r="A17" s="498"/>
      <c r="B17" s="498"/>
      <c r="C17" s="453"/>
      <c r="D17" s="1538">
        <v>3</v>
      </c>
      <c r="E17" s="1545" t="s">
        <v>1079</v>
      </c>
      <c r="F17" s="1544"/>
      <c r="G17" s="470" t="s">
        <v>1080</v>
      </c>
      <c r="H17" s="1551"/>
    </row>
    <row customHeight="1" ht="45">
      <c r="A18" s="1493">
        <v>1</v>
      </c>
      <c r="B18" s="498"/>
      <c r="C18" s="1495"/>
      <c r="D18" s="1538" t="s">
        <v>87</v>
      </c>
      <c r="E18" s="1545" t="s">
        <v>1081</v>
      </c>
      <c r="F18" s="1544"/>
      <c r="G18" s="470" t="s">
        <v>1080</v>
      </c>
      <c r="H18" s="1551"/>
      <c r="I18" s="847"/>
    </row>
    <row customHeight="1" ht="22.5">
      <c r="A19" s="498"/>
      <c r="B19" s="498"/>
      <c r="C19" s="453"/>
      <c r="D19" s="1538" t="s">
        <v>108</v>
      </c>
      <c r="E19" s="1545" t="s">
        <v>1082</v>
      </c>
      <c r="F19" s="1539" t="s">
        <v>290</v>
      </c>
      <c r="G19" s="2299" t="s">
        <v>1083</v>
      </c>
      <c r="H19" s="471"/>
    </row>
    <row s="1548" customFormat="1" customHeight="1" ht="5.25" hidden="1">
      <c r="A20" s="498"/>
      <c r="B20" s="498"/>
      <c r="C20" s="1547"/>
      <c r="D20" s="1546" t="s">
        <v>1008</v>
      </c>
      <c r="E20" s="1010"/>
      <c r="F20" s="1009"/>
      <c r="G20" s="2300"/>
    </row>
    <row customHeight="1" ht="15">
      <c r="A21" s="498"/>
      <c r="B21" s="498"/>
      <c r="C21" s="453"/>
      <c r="D21" s="463"/>
      <c r="E21" s="412" t="s">
        <v>325</v>
      </c>
      <c r="F21" s="465"/>
      <c r="G21" s="2301"/>
      <c r="H21" s="1551"/>
    </row>
    <row s="497" customFormat="1" customHeight="1" ht="24.75">
      <c r="A22" s="498"/>
      <c r="B22" s="498"/>
      <c r="C22" s="498"/>
      <c r="D22" s="1538" t="s">
        <v>88</v>
      </c>
      <c r="E22" s="470" t="s">
        <v>1084</v>
      </c>
      <c r="F22" s="1544"/>
      <c r="G22" s="470" t="s">
        <v>1085</v>
      </c>
      <c r="H22" s="1550"/>
    </row>
    <row s="497" customFormat="1" customHeight="1" ht="18.75">
      <c r="A23" s="498"/>
      <c r="B23" s="498"/>
      <c r="C23" s="498"/>
      <c r="D23" s="1538" t="s">
        <v>89</v>
      </c>
      <c r="E23" s="1545" t="s">
        <v>1086</v>
      </c>
      <c r="F23" s="1549"/>
      <c r="G23" s="470" t="s">
        <v>1087</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95D1C-5282-2CB1-7D0C-F86CDA43A97B}" mc:Ignorable="x14ac xr xr2 xr3">
  <dimension ref="A1:IT23"/>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горячего водоснабжения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284</v>
      </c>
      <c r="F7" s="1937"/>
      <c r="G7" s="1937"/>
      <c r="H7" s="1937"/>
      <c r="I7" s="1937"/>
      <c r="J7" s="2302" t="s">
        <v>285</v>
      </c>
      <c r="K7" s="496"/>
      <c r="L7" s="496"/>
      <c r="M7" s="496"/>
      <c r="N7" s="496"/>
      <c r="O7" s="205"/>
      <c r="P7" s="496"/>
      <c r="Q7" s="204"/>
      <c r="R7" s="204"/>
      <c r="S7" s="204"/>
      <c r="T7" s="204"/>
    </row>
    <row s="1845" customFormat="1" customHeight="1" ht="20.25">
      <c r="A8" s="1151"/>
      <c r="B8" s="1156"/>
      <c r="C8" s="1151"/>
      <c r="D8" s="1513"/>
      <c r="E8" s="1573" t="s">
        <v>84</v>
      </c>
      <c r="F8" s="1558" t="s">
        <v>1088</v>
      </c>
      <c r="G8" s="1558" t="s">
        <v>45</v>
      </c>
      <c r="H8" s="1558" t="s">
        <v>47</v>
      </c>
      <c r="I8" s="1558" t="s">
        <v>1089</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1090</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1091</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32ECE-8EC6-CE04-BB3E-799B3C6E83E2}"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hidden="1" customWidth="1"/>
    <col min="21" max="21" style="1878" width="5.7109375" hidden="1" customWidth="1"/>
    <col min="22" max="22" style="1878" width="34.421875" hidden="1"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ИМУП «ПОСЖИЛКОМСЕРВИС»</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84</v>
      </c>
      <c r="E9" s="1936" t="s">
        <v>120</v>
      </c>
      <c r="F9" s="1938"/>
      <c r="G9" s="1952" t="s">
        <v>102</v>
      </c>
      <c r="H9" s="1952" t="s">
        <v>84</v>
      </c>
      <c r="I9" s="1952"/>
      <c r="J9" s="1952" t="s">
        <v>121</v>
      </c>
      <c r="K9" s="2007" t="s">
        <v>122</v>
      </c>
      <c r="L9" s="2007"/>
      <c r="M9" s="2007"/>
      <c r="N9" s="2007"/>
      <c r="O9" s="2007" t="s">
        <v>123</v>
      </c>
      <c r="P9" s="2007"/>
      <c r="Q9" s="2007"/>
      <c r="R9" s="2007"/>
      <c r="S9" s="2007" t="s">
        <v>124</v>
      </c>
      <c r="T9" s="2007"/>
      <c r="U9" s="2007"/>
      <c r="V9" s="2007"/>
      <c r="W9" s="1952" t="s">
        <v>125</v>
      </c>
    </row>
    <row customHeight="1" ht="30">
      <c r="D10" s="1952"/>
      <c r="E10" s="1302" t="s">
        <v>85</v>
      </c>
      <c r="F10" s="1302" t="s">
        <v>126</v>
      </c>
      <c r="G10" s="1952"/>
      <c r="H10" s="1952"/>
      <c r="I10" s="1952"/>
      <c r="J10" s="1952"/>
      <c r="K10" s="90" t="s">
        <v>105</v>
      </c>
      <c r="L10" s="1952" t="s">
        <v>84</v>
      </c>
      <c r="M10" s="1952"/>
      <c r="N10" s="90" t="s">
        <v>127</v>
      </c>
      <c r="O10" s="90" t="s">
        <v>105</v>
      </c>
      <c r="P10" s="1952" t="s">
        <v>84</v>
      </c>
      <c r="Q10" s="1952"/>
      <c r="R10" s="90" t="s">
        <v>127</v>
      </c>
      <c r="S10" s="264" t="s">
        <v>105</v>
      </c>
      <c r="T10" s="1952" t="s">
        <v>84</v>
      </c>
      <c r="U10" s="1952"/>
      <c r="V10" s="264" t="s">
        <v>85</v>
      </c>
      <c r="W10" s="1952"/>
      <c r="Z10" s="1276" t="s">
        <v>128</v>
      </c>
      <c r="AA10" s="1276" t="s">
        <v>129</v>
      </c>
      <c r="AB10" s="1276" t="s">
        <v>130</v>
      </c>
      <c r="AC10" s="1276" t="s">
        <v>131</v>
      </c>
      <c r="AD10" s="1276" t="s">
        <v>132</v>
      </c>
      <c r="AE10" s="1276" t="s">
        <v>133</v>
      </c>
      <c r="AF10" s="1276" t="s">
        <v>134</v>
      </c>
      <c r="AG10" s="1276" t="s">
        <v>135</v>
      </c>
      <c r="AH10" s="1276" t="s">
        <v>136</v>
      </c>
      <c r="AI10" s="1276" t="s">
        <v>137</v>
      </c>
      <c r="AJ10" s="1276" t="s">
        <v>138</v>
      </c>
      <c r="AK10" s="1276" t="s">
        <v>139</v>
      </c>
      <c r="AL10" s="1276" t="s">
        <v>140</v>
      </c>
      <c r="AM10" s="1276" t="s">
        <v>141</v>
      </c>
      <c r="AN10" s="1276" t="s">
        <v>142</v>
      </c>
      <c r="AO10" s="1276" t="s">
        <v>143</v>
      </c>
      <c r="AP10" s="1276" t="s">
        <v>144</v>
      </c>
      <c r="AQ10" s="1276" t="s">
        <v>145</v>
      </c>
    </row>
    <row s="1650" customFormat="1" customHeight="1" ht="12" hidden="1">
      <c r="D11" s="1256" t="s">
        <v>106</v>
      </c>
      <c r="E11" s="1256" t="s">
        <v>107</v>
      </c>
      <c r="F11" s="1256"/>
      <c r="G11" s="1256" t="s">
        <v>86</v>
      </c>
      <c r="H11" s="1999" t="s">
        <v>108</v>
      </c>
      <c r="I11" s="1999"/>
      <c r="J11" s="1256" t="s">
        <v>88</v>
      </c>
      <c r="K11" s="1256" t="s">
        <v>89</v>
      </c>
      <c r="L11" s="1999" t="s">
        <v>109</v>
      </c>
      <c r="M11" s="1999"/>
      <c r="N11" s="1256" t="s">
        <v>146</v>
      </c>
      <c r="O11" s="1256" t="s">
        <v>147</v>
      </c>
      <c r="P11" s="1999" t="s">
        <v>148</v>
      </c>
      <c r="Q11" s="1999"/>
      <c r="R11" s="1256" t="s">
        <v>149</v>
      </c>
      <c r="S11" s="1256" t="s">
        <v>148</v>
      </c>
      <c r="T11" s="1999" t="s">
        <v>149</v>
      </c>
      <c r="U11" s="1999"/>
      <c r="V11" s="1256" t="s">
        <v>150</v>
      </c>
      <c r="W11" s="1256" t="s">
        <v>151</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152</v>
      </c>
      <c r="F13" s="1976" t="s">
        <v>53</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153</v>
      </c>
      <c r="AD13" s="1284" t="s">
        <v>154</v>
      </c>
      <c r="AE13" s="1284" t="s">
        <v>155</v>
      </c>
      <c r="AF13" s="1284" t="s">
        <v>156</v>
      </c>
      <c r="AG13" s="1284" t="s">
        <v>157</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158</v>
      </c>
      <c r="F18" s="1976" t="s">
        <v>53</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159</v>
      </c>
      <c r="AD18" s="1284" t="s">
        <v>160</v>
      </c>
      <c r="AE18" s="1284" t="s">
        <v>161</v>
      </c>
      <c r="AF18" s="1284" t="s">
        <v>162</v>
      </c>
      <c r="AG18" s="1284" t="s">
        <v>163</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164</v>
      </c>
      <c r="F23" s="1976" t="s">
        <v>53</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165</v>
      </c>
      <c r="AD23" s="1284" t="s">
        <v>166</v>
      </c>
      <c r="AE23" s="1284" t="s">
        <v>167</v>
      </c>
      <c r="AF23" s="1284" t="s">
        <v>168</v>
      </c>
      <c r="AG23" s="1284" t="s">
        <v>169</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170</v>
      </c>
      <c r="F28" s="1976" t="s">
        <v>53</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171</v>
      </c>
      <c r="AD28" s="1284" t="s">
        <v>172</v>
      </c>
      <c r="AE28" s="1284" t="s">
        <v>173</v>
      </c>
      <c r="AF28" s="1284" t="s">
        <v>174</v>
      </c>
      <c r="AG28" s="1284" t="s">
        <v>175</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176</v>
      </c>
      <c r="F33" s="1976" t="s">
        <v>53</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177</v>
      </c>
      <c r="AD33" s="1284" t="s">
        <v>178</v>
      </c>
      <c r="AE33" s="1284" t="s">
        <v>179</v>
      </c>
      <c r="AF33" s="1284" t="s">
        <v>180</v>
      </c>
      <c r="AG33" s="1284" t="s">
        <v>181</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182</v>
      </c>
      <c r="F38" s="1976" t="s">
        <v>53</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183</v>
      </c>
      <c r="AD38" s="1284" t="s">
        <v>184</v>
      </c>
      <c r="AE38" s="1284" t="s">
        <v>185</v>
      </c>
      <c r="AF38" s="1284" t="s">
        <v>186</v>
      </c>
      <c r="AG38" s="1284" t="s">
        <v>187</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188</v>
      </c>
      <c r="F43" s="1976" t="s">
        <v>53</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189</v>
      </c>
      <c r="AD43" s="1284" t="s">
        <v>190</v>
      </c>
      <c r="AE43" s="1284" t="s">
        <v>191</v>
      </c>
      <c r="AF43" s="1284" t="s">
        <v>192</v>
      </c>
      <c r="AG43" s="1284" t="s">
        <v>193</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194</v>
      </c>
      <c r="F48" s="1976" t="s">
        <v>53</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195</v>
      </c>
      <c r="AD48" s="1284" t="s">
        <v>196</v>
      </c>
      <c r="AE48" s="1284" t="s">
        <v>197</v>
      </c>
      <c r="AF48" s="1284" t="s">
        <v>198</v>
      </c>
      <c r="AG48" s="1284" t="s">
        <v>199</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200</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201</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202</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203</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204</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205</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206</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207</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208</v>
      </c>
      <c r="F64" s="1976" t="s">
        <v>53</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209</v>
      </c>
      <c r="AD64" s="1284" t="s">
        <v>210</v>
      </c>
      <c r="AE64" s="1284" t="s">
        <v>211</v>
      </c>
      <c r="AF64" s="1284" t="s">
        <v>212</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213</v>
      </c>
      <c r="F69" s="1976" t="s">
        <v>53</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214</v>
      </c>
      <c r="AD69" s="1284" t="s">
        <v>215</v>
      </c>
      <c r="AE69" s="1284" t="s">
        <v>216</v>
      </c>
      <c r="AF69" s="1284" t="s">
        <v>217</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218</v>
      </c>
      <c r="F74" s="1976" t="s">
        <v>53</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219</v>
      </c>
      <c r="AD74" s="1284" t="s">
        <v>220</v>
      </c>
      <c r="AE74" s="1284" t="s">
        <v>221</v>
      </c>
      <c r="AF74" s="1284" t="s">
        <v>222</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223</v>
      </c>
      <c r="F79" s="1976" t="s">
        <v>53</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224</v>
      </c>
      <c r="AD79" s="1284" t="s">
        <v>225</v>
      </c>
      <c r="AE79" s="1284" t="s">
        <v>226</v>
      </c>
      <c r="AF79" s="1284" t="s">
        <v>227</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228</v>
      </c>
      <c r="F84" s="1976" t="s">
        <v>53</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229</v>
      </c>
      <c r="AD84" s="1284" t="s">
        <v>230</v>
      </c>
      <c r="AE84" s="1284" t="s">
        <v>231</v>
      </c>
      <c r="AF84" s="1284" t="s">
        <v>232</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233</v>
      </c>
      <c r="F90" s="1976" t="s">
        <v>53</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234</v>
      </c>
      <c r="AD90" s="1284" t="s">
        <v>235</v>
      </c>
      <c r="AE90" s="1284" t="s">
        <v>236</v>
      </c>
      <c r="AF90" s="1284" t="s">
        <v>237</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238</v>
      </c>
      <c r="F95" s="1976" t="s">
        <v>53</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239</v>
      </c>
      <c r="AD95" s="1284" t="s">
        <v>240</v>
      </c>
      <c r="AE95" s="1284" t="s">
        <v>241</v>
      </c>
      <c r="AF95" s="1284" t="s">
        <v>242</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243</v>
      </c>
      <c r="F100" s="1976" t="s">
        <v>53</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244</v>
      </c>
      <c r="AD100" s="1284" t="s">
        <v>245</v>
      </c>
      <c r="AE100" s="1284" t="s">
        <v>246</v>
      </c>
      <c r="AF100" s="1284" t="s">
        <v>247</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248</v>
      </c>
      <c r="F106" s="1976" t="s">
        <v>53</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249</v>
      </c>
      <c r="AD106" s="1284" t="s">
        <v>250</v>
      </c>
      <c r="AE106" s="1284" t="s">
        <v>251</v>
      </c>
      <c r="AF106" s="1284" t="s">
        <v>252</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253</v>
      </c>
      <c r="F111" s="1976" t="s">
        <v>53</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254</v>
      </c>
      <c r="AD111" s="1284" t="s">
        <v>255</v>
      </c>
      <c r="AE111" s="1284" t="s">
        <v>256</v>
      </c>
      <c r="AF111" s="1284" t="s">
        <v>257</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258</v>
      </c>
      <c r="F116" s="1976" t="s">
        <v>53</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259</v>
      </c>
      <c r="AD116" s="1284" t="s">
        <v>260</v>
      </c>
      <c r="AE116" s="1284" t="s">
        <v>261</v>
      </c>
      <c r="AF116" s="1284" t="s">
        <v>262</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F20D9-811F-19E6-0527-1E376A26C33D}" mc:Ignorable="x14ac xr xr2 xr3">
  <dimension ref="A1:IV14"/>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ИМУП «ПОСЖИЛКОМСЕРВИС»</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79</v>
      </c>
      <c r="G3" s="1760"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горячего водоснабжения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284</v>
      </c>
      <c r="F7" s="1937"/>
      <c r="G7" s="1937"/>
      <c r="H7" s="1937"/>
      <c r="I7" s="1937"/>
      <c r="J7" s="1937"/>
      <c r="K7" s="1937"/>
      <c r="L7" s="2302" t="s">
        <v>285</v>
      </c>
      <c r="M7" s="496"/>
      <c r="N7" s="496"/>
      <c r="O7" s="496"/>
      <c r="P7" s="496"/>
      <c r="Q7" s="205"/>
      <c r="R7" s="496"/>
      <c r="S7" s="204"/>
      <c r="T7" s="204"/>
      <c r="U7" s="204"/>
      <c r="V7" s="204"/>
    </row>
    <row s="1845" customFormat="1" customHeight="1" ht="47.25">
      <c r="A8" s="1151"/>
      <c r="B8" s="1156"/>
      <c r="C8" s="1151"/>
      <c r="D8" s="1513"/>
      <c r="E8" s="2307" t="s">
        <v>84</v>
      </c>
      <c r="F8" s="2307" t="s">
        <v>1070</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горячего водоснабжения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горячего водоснабжения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6"/>
      <c r="M8" s="496"/>
      <c r="N8" s="496"/>
      <c r="O8" s="496"/>
      <c r="P8" s="496"/>
      <c r="Q8" s="205"/>
      <c r="R8" s="496"/>
      <c r="S8" s="204"/>
      <c r="T8" s="204"/>
      <c r="U8" s="204"/>
      <c r="V8" s="204"/>
    </row>
    <row s="1845" customFormat="1" customHeight="1" ht="56.25">
      <c r="A9" s="1151"/>
      <c r="B9" s="1156"/>
      <c r="C9" s="1151"/>
      <c r="D9" s="1513"/>
      <c r="E9" s="2308"/>
      <c r="F9" s="2308"/>
      <c r="G9" s="1555" t="s">
        <v>1092</v>
      </c>
      <c r="H9" s="1555" t="s">
        <v>1093</v>
      </c>
      <c r="I9" s="1555" t="s">
        <v>1094</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ИМУП «ПОСЖИЛКОМСЕРВИС»</v>
      </c>
      <c r="G10" s="1757" t="s">
        <v>18</v>
      </c>
      <c r="H10" s="1552"/>
      <c r="I10" s="1552"/>
      <c r="J10" s="1160"/>
      <c r="K10" s="1160"/>
      <c r="L10" s="2304" t="s">
        <v>1095</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1096</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600A5-D43A-605C-2011-F0C56B5ACF3C}" mc:Ignorable="x14ac xr xr2 xr3">
  <dimension ref="A1:IY16"/>
  <sheetViews>
    <sheetView topLeftCell="D5"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Ненецкий автономный округ</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1097</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79</v>
      </c>
      <c r="H4" s="490" t="s">
        <v>80</v>
      </c>
      <c r="I4" s="490"/>
      <c r="J4" s="1567"/>
      <c r="K4" s="1567"/>
      <c r="L4" s="1567"/>
      <c r="M4" s="1567"/>
      <c r="N4" s="1567"/>
      <c r="O4" s="1567"/>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1098</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285</v>
      </c>
      <c r="F8" s="1576"/>
      <c r="G8" s="1577" t="s">
        <v>289</v>
      </c>
      <c r="H8" s="1577" t="s">
        <v>1099</v>
      </c>
      <c r="I8" s="1577" t="s">
        <v>293</v>
      </c>
      <c r="J8" s="2319"/>
      <c r="K8" s="2320"/>
      <c r="L8" s="2321"/>
      <c r="M8" s="1577" t="s">
        <v>1100</v>
      </c>
      <c r="N8" s="1577" t="s">
        <v>1101</v>
      </c>
      <c r="O8" s="1577" t="s">
        <v>1102</v>
      </c>
      <c r="P8" s="1568"/>
      <c r="Q8" s="1568"/>
      <c r="R8" s="1568"/>
      <c r="S8" s="1568"/>
      <c r="T8" s="1569"/>
      <c r="U8" s="1568"/>
      <c r="V8" s="1570"/>
      <c r="W8" s="1570"/>
      <c r="X8" s="1570"/>
      <c r="Y8" s="1570"/>
    </row>
    <row s="1845" customFormat="1" customHeight="1" ht="47.25">
      <c r="A9" s="1151"/>
      <c r="B9" s="1156"/>
      <c r="C9" s="1151"/>
      <c r="D9" s="1513"/>
      <c r="E9" s="2071" t="s">
        <v>284</v>
      </c>
      <c r="F9" s="2308" t="s">
        <v>84</v>
      </c>
      <c r="G9" s="2308" t="s">
        <v>288</v>
      </c>
      <c r="H9" s="2308" t="s">
        <v>1103</v>
      </c>
      <c r="I9" s="2308"/>
      <c r="J9" s="2308" t="s">
        <v>1104</v>
      </c>
      <c r="K9" s="2308"/>
      <c r="L9" s="2308"/>
      <c r="M9" s="2308" t="s">
        <v>1105</v>
      </c>
      <c r="N9" s="2308" t="s">
        <v>1106</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горячего водоснабжения в случае, если региональный государственный контроль (надзор) в области регулирования тарифов в сфере горячего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1107</v>
      </c>
      <c r="I10" s="152" t="s">
        <v>292</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Ненецкий автономный округ</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1097</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1091</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4914-D704-208B-D4D5-260D4297B657}"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1108</v>
      </c>
      <c r="E7" s="1935"/>
      <c r="F7" s="246"/>
    </row>
    <row customHeight="1" ht="3">
      <c r="C8" s="71"/>
      <c r="D8" s="51"/>
      <c r="E8" s="51"/>
    </row>
    <row customHeight="1" ht="15.75">
      <c r="C9" s="71"/>
      <c r="D9" s="85" t="s">
        <v>84</v>
      </c>
      <c r="E9" s="88" t="s">
        <v>271</v>
      </c>
    </row>
    <row customHeight="1" ht="12">
      <c r="C10" s="71"/>
      <c r="D10" s="68" t="s">
        <v>106</v>
      </c>
      <c r="E10" s="68" t="s">
        <v>107</v>
      </c>
    </row>
    <row customHeight="1" ht="15" hidden="1">
      <c r="C11" s="71"/>
      <c r="D11" s="93">
        <v>0</v>
      </c>
      <c r="E11" s="129"/>
    </row>
    <row customHeight="1" ht="14.25">
      <c r="C12" s="71"/>
      <c r="D12" s="89"/>
      <c r="E12" s="87" t="s">
        <v>1068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0B84F-7FCA-D8C4-727D-A44EF91AD34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4" t="s">
        <v>1109</v>
      </c>
      <c r="C2" s="2324"/>
      <c r="D2" s="2324"/>
      <c r="E2" s="247"/>
    </row>
    <row customHeight="1" ht="3"/>
    <row customHeight="1" ht="21.75">
      <c r="B4" s="2445" t="s">
        <v>1110</v>
      </c>
      <c r="C4" s="380" t="s">
        <v>1111</v>
      </c>
      <c r="D4" s="380" t="s">
        <v>1112</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8393A-6D9B-8FCC-2427-3EC664110C2F}"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1113</v>
      </c>
    </row>
    <row r="4" s="243" customFormat="1" customHeight="1" ht="15">
      <c r="C4" s="1842"/>
      <c r="D4" s="93"/>
      <c r="E4" s="371"/>
    </row>
    <row r="6" s="1841" customFormat="1" customHeight="1" ht="17.25">
      <c r="A6" s="1841" t="s">
        <v>1114</v>
      </c>
    </row>
    <row r="8" s="243" customFormat="1" customHeight="1" ht="17.25">
      <c r="C8" s="1843"/>
      <c r="D8" s="93"/>
      <c r="E8" s="94"/>
    </row>
    <row r="11" s="1841" customFormat="1" customHeight="1" ht="17.25">
      <c r="A11" s="1841" t="s">
        <v>1115</v>
      </c>
    </row>
    <row r="13" s="1845" customFormat="1" customHeight="1" ht="15">
      <c r="A13" s="2063">
        <v>1</v>
      </c>
      <c r="B13" s="1156"/>
      <c r="C13" s="796" t="s">
        <v>1021</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99</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1116</v>
      </c>
    </row>
    <row r="19" s="2437" customFormat="1" customHeight="1" ht="15">
      <c r="A19" s="1908"/>
      <c r="B19" s="1384">
        <v>1</v>
      </c>
      <c r="C19" s="1384"/>
      <c r="D19" s="795" t="s">
        <v>1021</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1117</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1021</v>
      </c>
      <c r="D23" s="1963" t="s">
        <v>106</v>
      </c>
      <c r="E23" s="1964"/>
      <c r="F23" s="1962" t="s">
        <v>53</v>
      </c>
      <c r="G23" s="2375"/>
      <c r="H23" s="1952">
        <v>1</v>
      </c>
      <c r="I23" s="2377" t="str">
        <f>IF(U23="","",INDEX(TERRITORY_MR_LIST,MATCH(U23,TERRITORY_LIST_ID,0)))</f>
        <v/>
      </c>
      <c r="J23" s="1962" t="s">
        <v>53</v>
      </c>
      <c r="K23" s="827"/>
      <c r="L23" s="1808" t="s">
        <v>106</v>
      </c>
      <c r="M23" s="599"/>
      <c r="N23" s="600"/>
      <c r="O23" s="600"/>
      <c r="P23" s="600"/>
      <c r="Q23" s="600"/>
      <c r="R23" s="600"/>
      <c r="S23" s="600"/>
      <c r="T23" s="600"/>
      <c r="U23" s="601"/>
      <c r="V23" s="600"/>
      <c r="W23" s="600"/>
      <c r="X23" s="591"/>
      <c r="Y23" s="591" t="s">
        <v>116</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117</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118</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1118</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1021</v>
      </c>
      <c r="H29" s="1938">
        <v>1</v>
      </c>
      <c r="I29" s="2380" t="str">
        <f>IF(U29="","",INDEX(TERRITORY_MR_LIST,MATCH(U29,TERRITORY_LIST_ID,0)))</f>
        <v/>
      </c>
      <c r="J29" s="1962" t="s">
        <v>53</v>
      </c>
      <c r="K29" s="827"/>
      <c r="L29" s="1808" t="s">
        <v>106</v>
      </c>
      <c r="M29" s="599"/>
      <c r="N29" s="600"/>
      <c r="O29" s="600"/>
      <c r="P29" s="600"/>
      <c r="Q29" s="600"/>
      <c r="R29" s="600"/>
      <c r="S29" s="600"/>
      <c r="T29" s="600"/>
      <c r="U29" s="601"/>
      <c r="V29" s="600"/>
      <c r="W29" s="600"/>
      <c r="X29" s="591"/>
      <c r="Y29" s="591" t="s">
        <v>116</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117</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1119</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1021</v>
      </c>
      <c r="L34" s="1754" t="s">
        <v>106</v>
      </c>
      <c r="M34" s="806"/>
      <c r="N34" s="807"/>
      <c r="O34" s="600"/>
      <c r="P34" s="600"/>
      <c r="Q34" s="600"/>
      <c r="R34" s="600"/>
      <c r="S34" s="600"/>
      <c r="T34" s="600"/>
      <c r="U34" s="601"/>
      <c r="V34" s="600"/>
      <c r="W34" s="600"/>
      <c r="X34" s="591"/>
      <c r="Y34" s="591" t="s">
        <v>116</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1120</v>
      </c>
    </row>
    <row customHeight="1" ht="11.25"/>
    <row s="451" customFormat="1" customHeight="1" ht="22.5">
      <c r="A39" s="1817"/>
      <c r="B39" s="453"/>
      <c r="C39" s="854"/>
      <c r="D39" s="436"/>
      <c r="E39" s="855"/>
      <c r="F39" s="1838"/>
      <c r="G39" s="1848"/>
      <c r="H39" s="471"/>
    </row>
    <row customHeight="1" ht="11.25"/>
    <row s="1841" customFormat="1" customHeight="1" ht="11.25">
      <c r="A41" s="1841" t="s">
        <v>1121</v>
      </c>
    </row>
    <row customHeight="1" ht="11.25"/>
    <row s="451" customFormat="1" customHeight="1" ht="22.5">
      <c r="A43" s="453"/>
      <c r="B43" s="453"/>
      <c r="C43" s="453"/>
      <c r="D43" s="436"/>
      <c r="E43" s="855"/>
      <c r="F43" s="856"/>
      <c r="G43" s="1848"/>
      <c r="H43" s="471"/>
    </row>
    <row r="46" s="1841" customFormat="1" customHeight="1" ht="17.25">
      <c r="A46" s="1841" t="s">
        <v>1122</v>
      </c>
    </row>
    <row r="48" s="1638" customFormat="1" customHeight="1" ht="18.75">
      <c r="A48" s="0"/>
      <c r="B48" s="1849"/>
      <c r="C48" s="1849"/>
      <c r="D48" s="1850"/>
      <c r="E48" s="1835"/>
      <c r="F48" s="863">
        <v>13</v>
      </c>
      <c r="G48" s="862"/>
      <c r="H48" s="788"/>
      <c r="I48" s="786"/>
      <c r="J48" s="516" t="s">
        <v>55</v>
      </c>
      <c r="K48" s="1851" t="s">
        <v>18</v>
      </c>
      <c r="L48" s="0"/>
      <c r="M48" s="1662"/>
      <c r="N48" s="1662"/>
      <c r="O48" s="1662"/>
      <c r="P48" s="512" t="s">
        <v>378</v>
      </c>
      <c r="Q48" s="512" t="s">
        <v>379</v>
      </c>
      <c r="R48" s="513" t="s">
        <v>380</v>
      </c>
      <c r="S48" s="1662" t="s">
        <v>381</v>
      </c>
      <c r="T48" s="1662"/>
      <c r="U48" s="1662"/>
      <c r="V48" s="1662"/>
    </row>
    <row r="50" s="1841" customFormat="1" customHeight="1" ht="11.25">
      <c r="A50" s="1841" t="s">
        <v>1123</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367</v>
      </c>
      <c r="AQ52" s="1650" t="s">
        <v>367</v>
      </c>
      <c r="AR52" s="1662"/>
      <c r="AS52" s="1662"/>
    </row>
    <row r="54" s="1841" customFormat="1" customHeight="1" ht="11.25">
      <c r="A54" s="1841" t="s">
        <v>1124</v>
      </c>
    </row>
    <row r="56" s="1849" customFormat="1" customHeight="1" ht="15">
      <c r="A56" s="125" t="s">
        <v>86</v>
      </c>
      <c r="B56" s="105" t="s">
        <v>18</v>
      </c>
      <c r="C56" s="1852"/>
      <c r="D56" s="108"/>
      <c r="E56" s="378"/>
      <c r="F56" s="378"/>
      <c r="G56" s="1829"/>
      <c r="H56" s="1851"/>
      <c r="I56" s="1830"/>
      <c r="K56" s="251"/>
      <c r="L56" s="252"/>
    </row>
    <row r="58" s="1841" customFormat="1" customHeight="1" ht="11.25">
      <c r="A58" s="1841" t="s">
        <v>1125</v>
      </c>
    </row>
    <row r="60" s="1661" customFormat="1" customHeight="1" ht="14.25">
      <c r="A60" s="331"/>
      <c r="B60" s="1156"/>
      <c r="C60" s="368"/>
      <c r="D60" s="1836"/>
      <c r="E60" s="881"/>
      <c r="F60" s="1851"/>
      <c r="G60" s="0"/>
      <c r="I60" s="1650"/>
      <c r="J60" s="1650"/>
    </row>
    <row r="62" s="1841" customFormat="1" customHeight="1" ht="11.25">
      <c r="A62" s="1841" t="s">
        <v>1126</v>
      </c>
    </row>
    <row r="64" s="1661" customFormat="1" customHeight="1" ht="27">
      <c r="A64" s="1162"/>
      <c r="B64" s="1162"/>
      <c r="C64" s="1162"/>
      <c r="D64" s="1156"/>
      <c r="E64" s="1853"/>
      <c r="F64" s="2325"/>
      <c r="G64" s="2326"/>
      <c r="H64" s="2327" t="s">
        <v>55</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55</v>
      </c>
      <c r="Z64" s="1834"/>
      <c r="AA64" s="1818">
        <v>1</v>
      </c>
      <c r="AB64" s="1248"/>
      <c r="AD64" s="1662" t="s">
        <v>1127</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1128</v>
      </c>
    </row>
    <row r="67" s="1841" customFormat="1" customHeight="1" ht="11.25">
      <c r="A67" s="1841" t="s">
        <v>1129</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1127</v>
      </c>
    </row>
    <row r="71" s="1841" customFormat="1" customHeight="1" ht="11.25">
      <c r="A71" s="1841" t="s">
        <v>1130</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106</v>
      </c>
      <c r="I74" s="2391"/>
      <c r="J74" s="2315"/>
      <c r="K74" s="2392"/>
      <c r="L74" s="2385" t="s">
        <v>53</v>
      </c>
      <c r="M74" s="1963"/>
      <c r="N74" s="1175"/>
      <c r="O74" s="1174" t="s">
        <v>362</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53</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1131</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1132</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1133</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1134</v>
      </c>
    </row>
    <row r="83" s="1661" customFormat="1" customHeight="1" ht="11.25">
      <c r="A83" s="1162"/>
      <c r="B83" s="1162"/>
      <c r="C83" s="1162"/>
      <c r="D83" s="1156"/>
      <c r="E83" s="1166"/>
      <c r="F83" s="1855"/>
      <c r="G83" s="1856"/>
      <c r="H83" s="1856"/>
      <c r="I83" s="1789"/>
      <c r="J83" s="1789"/>
      <c r="K83" s="1857"/>
      <c r="L83" s="1789"/>
      <c r="M83" s="1856"/>
      <c r="N83" s="2349"/>
      <c r="O83" s="2350">
        <v>1</v>
      </c>
      <c r="P83" s="2345" t="s">
        <v>53</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1131</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1135</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1136</v>
      </c>
    </row>
    <row r="93" s="1661" customFormat="1" customHeight="1" ht="11.25">
      <c r="A93" s="1162"/>
      <c r="B93" s="1162"/>
      <c r="C93" s="1162"/>
      <c r="D93" s="1156"/>
      <c r="E93" s="1166"/>
      <c r="F93" s="1855"/>
      <c r="G93" s="1856"/>
      <c r="H93" s="2337" t="s">
        <v>106</v>
      </c>
      <c r="I93" s="2391"/>
      <c r="J93" s="2315"/>
      <c r="K93" s="2392"/>
      <c r="L93" s="2385" t="s">
        <v>53</v>
      </c>
      <c r="M93" s="1963"/>
      <c r="N93" s="1175"/>
      <c r="O93" s="1174" t="s">
        <v>362</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53</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1131</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1132</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1137</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1138</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1139</v>
      </c>
    </row>
    <row r="107" s="2437" customFormat="1" customHeight="1" ht="15">
      <c r="A107" s="619"/>
      <c r="B107" s="0"/>
      <c r="C107" s="0"/>
      <c r="D107" s="2342" t="s">
        <v>106</v>
      </c>
      <c r="E107" s="2212" t="s">
        <v>102</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587</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3"/>
      <c r="E108" s="2212" t="s">
        <v>542</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3"/>
      <c r="E109" s="2212" t="s">
        <v>543</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2"/>
      <c r="B110" s="1156"/>
      <c r="C110" s="409"/>
      <c r="D110" s="2343"/>
      <c r="E110" s="2209" t="s">
        <v>588</v>
      </c>
      <c r="F110" s="2209"/>
      <c r="G110" s="2209"/>
      <c r="H110" s="2209"/>
      <c r="I110" s="2209"/>
      <c r="J110" s="2209"/>
      <c r="K110" s="2209"/>
      <c r="L110" s="2209"/>
      <c r="M110" s="2209"/>
      <c r="N110" s="2209"/>
      <c r="O110" s="2209"/>
      <c r="P110" s="2209"/>
      <c r="Q110" s="554">
        <f>SUMIF(T111:T112,"i",Q111:Q112)</f>
        <v>0</v>
      </c>
      <c r="R110" s="1013"/>
      <c r="S110" s="1824" t="s">
        <v>589</v>
      </c>
      <c r="T110" s="712" t="s">
        <v>590</v>
      </c>
      <c r="U110" s="2210">
        <v>1</v>
      </c>
      <c r="V110" s="2210" t="s">
        <v>553</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c r="A112" s="1832"/>
      <c r="B112" s="1156"/>
      <c r="C112" s="409"/>
      <c r="D112" s="2343"/>
      <c r="E112" s="644" t="s">
        <v>18</v>
      </c>
      <c r="F112" s="1164" t="s">
        <v>18</v>
      </c>
      <c r="G112" s="1164" t="s">
        <v>1140</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c r="A113" s="1832"/>
      <c r="B113" s="1156"/>
      <c r="C113" s="409"/>
      <c r="D113" s="2343"/>
      <c r="E113" s="2209" t="s">
        <v>591</v>
      </c>
      <c r="F113" s="2209"/>
      <c r="G113" s="2209"/>
      <c r="H113" s="2209"/>
      <c r="I113" s="2209"/>
      <c r="J113" s="2209"/>
      <c r="K113" s="2209"/>
      <c r="L113" s="2209"/>
      <c r="M113" s="2209"/>
      <c r="N113" s="2209"/>
      <c r="O113" s="2209"/>
      <c r="P113" s="2209"/>
      <c r="Q113" s="554">
        <f>SUMIF(T114:T115,"i",Q114:Q115)</f>
        <v>0</v>
      </c>
      <c r="R113" s="1013"/>
      <c r="S113" s="1824" t="s">
        <v>592</v>
      </c>
      <c r="T113" s="712" t="s">
        <v>590</v>
      </c>
      <c r="U113" s="2210">
        <v>1</v>
      </c>
      <c r="V113" s="2210" t="s">
        <v>553</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c r="A115" s="1832"/>
      <c r="B115" s="1156"/>
      <c r="C115" s="409"/>
      <c r="D115" s="2344"/>
      <c r="E115" s="644" t="s">
        <v>18</v>
      </c>
      <c r="F115" s="1164" t="s">
        <v>18</v>
      </c>
      <c r="G115" s="1164" t="s">
        <v>1140</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1141</v>
      </c>
    </row>
    <row r="119" s="2437" customFormat="1" customHeight="1" ht="15">
      <c r="A119" s="619"/>
      <c r="B119" s="0"/>
      <c r="C119" s="0"/>
      <c r="D119" s="2342" t="s">
        <v>106</v>
      </c>
      <c r="E119" s="2212" t="s">
        <v>102</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587</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3"/>
      <c r="E120" s="2212" t="s">
        <v>542</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3"/>
      <c r="E121" s="2212" t="s">
        <v>543</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2"/>
      <c r="B122" s="1156"/>
      <c r="C122" s="409"/>
      <c r="D122" s="2343"/>
      <c r="E122" s="2209" t="s">
        <v>588</v>
      </c>
      <c r="F122" s="2209"/>
      <c r="G122" s="2209"/>
      <c r="H122" s="2209"/>
      <c r="I122" s="2209"/>
      <c r="J122" s="2209"/>
      <c r="K122" s="2209"/>
      <c r="L122" s="2209"/>
      <c r="M122" s="2209"/>
      <c r="N122" s="2209"/>
      <c r="O122" s="2209"/>
      <c r="P122" s="2209"/>
      <c r="Q122" s="554">
        <f>SUMIF(T123:T124,"i",Q123:Q124)</f>
        <v>0</v>
      </c>
      <c r="R122" s="1013"/>
      <c r="S122" s="1824" t="s">
        <v>589</v>
      </c>
      <c r="T122" s="712" t="s">
        <v>590</v>
      </c>
      <c r="U122" s="2210">
        <v>1</v>
      </c>
      <c r="V122" s="2210" t="s">
        <v>553</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c r="A124" s="1832"/>
      <c r="B124" s="1156"/>
      <c r="C124" s="409"/>
      <c r="D124" s="2343"/>
      <c r="E124" s="644" t="s">
        <v>18</v>
      </c>
      <c r="F124" s="1164" t="s">
        <v>18</v>
      </c>
      <c r="G124" s="1164" t="s">
        <v>1140</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590</v>
      </c>
      <c r="U125" s="2210">
        <v>1</v>
      </c>
      <c r="V125" s="2210" t="s">
        <v>553</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1142</v>
      </c>
    </row>
    <row r="131" s="2437" customFormat="1" customHeight="1" ht="45">
      <c r="A131" s="1832"/>
      <c r="B131" s="1156"/>
      <c r="C131" s="409"/>
      <c r="D131" s="0"/>
      <c r="E131" s="2354"/>
      <c r="F131" s="1963" t="s">
        <v>106</v>
      </c>
      <c r="G131" s="2357" t="s">
        <v>18</v>
      </c>
      <c r="H131" s="270"/>
      <c r="I131" s="632" t="s">
        <v>106</v>
      </c>
      <c r="J131" s="1833" t="s">
        <v>1143</v>
      </c>
      <c r="K131" s="633" t="s">
        <v>524</v>
      </c>
      <c r="L131" s="2054" t="s">
        <v>524</v>
      </c>
      <c r="M131" s="2359"/>
      <c r="N131" s="633" t="s">
        <v>524</v>
      </c>
      <c r="O131" s="633" t="s">
        <v>524</v>
      </c>
      <c r="P131" s="633" t="s">
        <v>524</v>
      </c>
      <c r="Q131" s="634">
        <f>SUM(Q132:Q134)</f>
        <v>0</v>
      </c>
      <c r="R131" s="634">
        <f>IF(R128=0,0,(Q128/R128)*100)</f>
        <v>0</v>
      </c>
      <c r="S131" s="2022"/>
      <c r="T131" s="712" t="s">
        <v>590</v>
      </c>
      <c r="U131" s="0"/>
      <c r="V131" s="0"/>
      <c r="AC131" s="0"/>
    </row>
    <row s="2437" customFormat="1" customHeight="1" ht="11.25">
      <c r="A132" s="1832"/>
      <c r="B132" s="1156"/>
      <c r="C132" s="409"/>
      <c r="D132" s="0"/>
      <c r="E132" s="2355"/>
      <c r="F132" s="1963"/>
      <c r="G132" s="2357"/>
      <c r="H132" s="1952"/>
      <c r="I132" s="2337" t="s">
        <v>914</v>
      </c>
      <c r="J132" s="2351"/>
      <c r="K132" s="2352"/>
      <c r="L132" s="635"/>
      <c r="M132" s="636" t="s">
        <v>106</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1144</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1145</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914</v>
      </c>
      <c r="J139" s="2351"/>
      <c r="K139" s="2352"/>
      <c r="L139" s="635"/>
      <c r="M139" s="636" t="s">
        <v>106</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1144</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106</v>
      </c>
      <c r="N142" s="1821"/>
      <c r="O142" s="637"/>
      <c r="P142" s="638"/>
      <c r="Q142" s="637"/>
      <c r="R142" s="639">
        <v>0</v>
      </c>
      <c r="S142" s="0"/>
      <c r="T142" s="712"/>
      <c r="U142" s="0"/>
      <c r="V142" s="0"/>
      <c r="AC142" s="0"/>
    </row>
    <row r="144" s="1841" customFormat="1" customHeight="1" ht="17.25">
      <c r="A144" s="1841" t="s">
        <v>1146</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55</v>
      </c>
      <c r="L146" s="1963"/>
      <c r="M146" s="1963" t="s">
        <v>106</v>
      </c>
      <c r="N146" s="2368" t="str">
        <f>IF(Z146="","",INDEX(TERRITORY_MR_LIST,MATCH(Z146,TERRITORY_LIST_ID,0)))</f>
        <v/>
      </c>
      <c r="O146" s="2025" t="s">
        <v>55</v>
      </c>
      <c r="P146" s="1963"/>
      <c r="Q146" s="1963" t="s">
        <v>106</v>
      </c>
      <c r="R146" s="2339" t="s">
        <v>18</v>
      </c>
      <c r="S146" s="1962" t="s">
        <v>55</v>
      </c>
      <c r="T146" s="1837"/>
      <c r="U146" s="1837" t="s">
        <v>106</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400</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401</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402</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434</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55</v>
      </c>
      <c r="L152" s="1963"/>
      <c r="M152" s="1963" t="s">
        <v>106</v>
      </c>
      <c r="N152" s="2368" t="str">
        <f>IF(Z152="","",INDEX(TERRITORY_MR_LIST,MATCH(Z152,TERRITORY_LIST_ID,0)))</f>
        <v/>
      </c>
      <c r="O152" s="2025" t="s">
        <v>55</v>
      </c>
      <c r="P152" s="1963"/>
      <c r="Q152" s="1963" t="s">
        <v>106</v>
      </c>
      <c r="R152" s="2339" t="s">
        <v>18</v>
      </c>
      <c r="S152" s="1962" t="s">
        <v>55</v>
      </c>
      <c r="T152" s="1837"/>
      <c r="U152" s="1837" t="s">
        <v>106</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400</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401</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402</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106</v>
      </c>
      <c r="N157" s="2368" t="str">
        <f>IF(Z157="","",INDEX(TERRITORY_MR_LIST,MATCH(Z157,TERRITORY_LIST_ID,0)))</f>
        <v/>
      </c>
      <c r="O157" s="2025" t="s">
        <v>55</v>
      </c>
      <c r="P157" s="1963"/>
      <c r="Q157" s="1963" t="s">
        <v>106</v>
      </c>
      <c r="R157" s="2339" t="s">
        <v>18</v>
      </c>
      <c r="S157" s="1962" t="s">
        <v>55</v>
      </c>
      <c r="T157" s="1837"/>
      <c r="U157" s="1837" t="s">
        <v>106</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400</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401</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106</v>
      </c>
      <c r="R161" s="2339" t="s">
        <v>18</v>
      </c>
      <c r="S161" s="1962" t="s">
        <v>55</v>
      </c>
      <c r="T161" s="1837"/>
      <c r="U161" s="1837" t="s">
        <v>106</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400</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106</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1147</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55</v>
      </c>
      <c r="L168" s="1963"/>
      <c r="M168" s="1963" t="s">
        <v>106</v>
      </c>
      <c r="N168" s="2368" t="str">
        <f>IF(Z168="","",INDEX(TERRITORY_MR_LIST,MATCH(Z168,TERRITORY_LIST_ID,0)))</f>
        <v/>
      </c>
      <c r="O168" s="2025" t="s">
        <v>55</v>
      </c>
      <c r="P168" s="1963"/>
      <c r="Q168" s="1963" t="s">
        <v>106</v>
      </c>
      <c r="R168" s="2339" t="s">
        <v>18</v>
      </c>
      <c r="S168" s="2227" t="s">
        <v>53</v>
      </c>
      <c r="T168" s="1828"/>
      <c r="U168" s="1828" t="s">
        <v>106</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401</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402</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434</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55</v>
      </c>
      <c r="L174" s="1963"/>
      <c r="M174" s="1963" t="s">
        <v>106</v>
      </c>
      <c r="N174" s="2368" t="str">
        <f>IF(Z174="","",INDEX(TERRITORY_MR_LIST,MATCH(Z174,TERRITORY_LIST_ID,0)))</f>
        <v/>
      </c>
      <c r="O174" s="2025" t="s">
        <v>55</v>
      </c>
      <c r="P174" s="1963"/>
      <c r="Q174" s="1963" t="s">
        <v>106</v>
      </c>
      <c r="R174" s="2339" t="s">
        <v>18</v>
      </c>
      <c r="S174" s="2227" t="s">
        <v>53</v>
      </c>
      <c r="T174" s="1828"/>
      <c r="U174" s="1828" t="s">
        <v>106</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401</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402</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106</v>
      </c>
      <c r="N179" s="2368" t="str">
        <f>IF(Z179="","",INDEX(TERRITORY_MR_LIST,MATCH(Z179,TERRITORY_LIST_ID,0)))</f>
        <v/>
      </c>
      <c r="O179" s="2025" t="s">
        <v>55</v>
      </c>
      <c r="P179" s="1963"/>
      <c r="Q179" s="1963" t="s">
        <v>106</v>
      </c>
      <c r="R179" s="2339" t="s">
        <v>18</v>
      </c>
      <c r="S179" s="2227" t="s">
        <v>53</v>
      </c>
      <c r="T179" s="1828"/>
      <c r="U179" s="1828" t="s">
        <v>106</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401</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106</v>
      </c>
      <c r="R183" s="2339" t="s">
        <v>18</v>
      </c>
      <c r="S183" s="2227" t="s">
        <v>53</v>
      </c>
      <c r="T183" s="1828"/>
      <c r="U183" s="1828" t="s">
        <v>106</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1148</v>
      </c>
    </row>
    <row customHeight="1" ht="17.25">
      <c r="G193" s="1864"/>
      <c r="H193" s="1864"/>
      <c r="I193" s="1864"/>
      <c r="M193" s="0"/>
    </row>
    <row s="2437" customFormat="1" customHeight="1" ht="15">
      <c r="D194" s="2397"/>
      <c r="E194" s="2017"/>
      <c r="F194" s="2017"/>
      <c r="G194" s="2025"/>
      <c r="H194" s="1592"/>
      <c r="I194" s="2398">
        <v>1</v>
      </c>
      <c r="J194" s="2370"/>
      <c r="K194" s="1606"/>
      <c r="L194" s="2025" t="s">
        <v>55</v>
      </c>
      <c r="M194" s="2025" t="s">
        <v>55</v>
      </c>
      <c r="N194" s="1592"/>
      <c r="O194" s="1963" t="s">
        <v>106</v>
      </c>
      <c r="P194" s="2392"/>
      <c r="Q194" s="1607"/>
      <c r="R194" s="2025" t="s">
        <v>55</v>
      </c>
      <c r="S194" s="2025" t="s">
        <v>55</v>
      </c>
      <c r="T194" s="1880"/>
      <c r="U194" s="1963" t="s">
        <v>106</v>
      </c>
      <c r="V194" s="2394" t="str">
        <f>IF(AK194="","",INDEX(TERRITORY_MR_LIST,MATCH(AK194,TERRITORY_LIST_ID,0)))</f>
        <v/>
      </c>
      <c r="W194" s="1608"/>
      <c r="X194" s="2025" t="s">
        <v>55</v>
      </c>
      <c r="Y194" s="2025" t="s">
        <v>53</v>
      </c>
      <c r="Z194" s="1592"/>
      <c r="AA194" s="1963" t="s">
        <v>106</v>
      </c>
      <c r="AB194" s="2396"/>
      <c r="AC194" s="1609"/>
      <c r="AD194" s="2025" t="s">
        <v>55</v>
      </c>
      <c r="AE194" s="2025" t="s">
        <v>53</v>
      </c>
      <c r="AF194" s="1590"/>
      <c r="AG194" s="1837" t="s">
        <v>106</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1149</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1150</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100</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1151</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434</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996B37-9495-BF3F-134B-84D9CFF2A4C3}"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1152</v>
      </c>
      <c r="B1" s="1063" t="s">
        <v>1153</v>
      </c>
      <c r="C1" s="1063" t="s">
        <v>1154</v>
      </c>
      <c r="D1" s="1063" t="s">
        <v>1155</v>
      </c>
      <c r="E1" s="1063" t="s">
        <v>1156</v>
      </c>
      <c r="F1" s="1063" t="s">
        <v>1157</v>
      </c>
      <c r="G1" s="1063" t="s">
        <v>1158</v>
      </c>
      <c r="H1" s="1063" t="s">
        <v>1159</v>
      </c>
      <c r="I1" s="1063" t="s">
        <v>1160</v>
      </c>
      <c r="J1" s="1063" t="s">
        <v>1161</v>
      </c>
      <c r="K1" s="1063" t="s">
        <v>1162</v>
      </c>
      <c r="L1" s="1063" t="s">
        <v>1163</v>
      </c>
      <c r="M1" s="1063"/>
      <c r="N1" s="1063" t="s">
        <v>1164</v>
      </c>
      <c r="O1" s="1063" t="s">
        <v>1165</v>
      </c>
      <c r="P1" s="1063" t="s">
        <v>1166</v>
      </c>
      <c r="Q1" s="1063" t="s">
        <v>1167</v>
      </c>
      <c r="R1" s="1063" t="s">
        <v>1168</v>
      </c>
      <c r="S1" s="1063" t="s">
        <v>1169</v>
      </c>
      <c r="T1" s="1063" t="s">
        <v>1170</v>
      </c>
      <c r="U1" s="1063" t="s">
        <v>1171</v>
      </c>
      <c r="V1" s="1063"/>
      <c r="W1" s="792" t="s">
        <v>1172</v>
      </c>
      <c r="X1" s="1063" t="s">
        <v>1173</v>
      </c>
      <c r="Y1" s="1063" t="s">
        <v>1174</v>
      </c>
      <c r="Z1" s="1063"/>
      <c r="AA1" s="1063" t="s">
        <v>1175</v>
      </c>
      <c r="AB1" s="1063"/>
      <c r="AC1" s="1063" t="s">
        <v>1176</v>
      </c>
      <c r="AD1" s="1063"/>
      <c r="AF1" s="1063" t="s">
        <v>1177</v>
      </c>
      <c r="AH1" s="1063" t="s">
        <v>1178</v>
      </c>
      <c r="AI1" s="1063" t="s">
        <v>1179</v>
      </c>
      <c r="AK1" s="1063" t="s">
        <v>1180</v>
      </c>
      <c r="AM1" s="1063" t="s">
        <v>1181</v>
      </c>
      <c r="AP1" s="1063" t="s">
        <v>1182</v>
      </c>
      <c r="AQ1" s="1063" t="s">
        <v>1183</v>
      </c>
      <c r="AS1" s="1063" t="s">
        <v>1184</v>
      </c>
      <c r="AU1" s="1063" t="s">
        <v>1185</v>
      </c>
      <c r="AW1" s="1063" t="s">
        <v>1186</v>
      </c>
      <c r="AX1" s="1063" t="s">
        <v>1187</v>
      </c>
      <c r="AZ1" s="1148" t="s">
        <v>1188</v>
      </c>
      <c r="BB1" s="1063" t="s">
        <v>1189</v>
      </c>
      <c r="BC1" s="1063"/>
      <c r="BE1" s="1063" t="s">
        <v>1190</v>
      </c>
      <c r="BF1" s="1063" t="s">
        <v>1191</v>
      </c>
      <c r="BH1" s="1065" t="s">
        <v>700</v>
      </c>
      <c r="BI1" s="1066"/>
      <c r="BJ1" s="1067" t="s">
        <v>1192</v>
      </c>
      <c r="BK1" s="1066"/>
      <c r="BL1" s="1068" t="s">
        <v>798</v>
      </c>
      <c r="BM1" s="1066"/>
      <c r="BN1" s="1069" t="s">
        <v>1193</v>
      </c>
      <c r="BS1" s="1445"/>
    </row>
    <row customHeight="1" ht="11.25">
      <c r="A2" s="1070" t="s">
        <v>1194</v>
      </c>
      <c r="B2" s="1071">
        <v>2000</v>
      </c>
      <c r="C2" s="1071">
        <v>2022</v>
      </c>
      <c r="D2" s="1071" t="s">
        <v>55</v>
      </c>
      <c r="E2" s="1072" t="s">
        <v>1195</v>
      </c>
      <c r="F2" s="1072" t="s">
        <v>31</v>
      </c>
      <c r="G2" s="1072" t="s">
        <v>1196</v>
      </c>
      <c r="H2" s="1073" t="s">
        <v>51</v>
      </c>
      <c r="I2" s="1072" t="s">
        <v>106</v>
      </c>
      <c r="J2" s="1072" t="s">
        <v>1197</v>
      </c>
      <c r="K2" s="1074" t="s">
        <v>1198</v>
      </c>
      <c r="L2" s="1075"/>
      <c r="M2" s="1074">
        <v>1</v>
      </c>
      <c r="N2" s="1158" t="s">
        <v>1199</v>
      </c>
      <c r="O2" s="1073" t="s">
        <v>1200</v>
      </c>
      <c r="P2" s="1076" t="s">
        <v>34</v>
      </c>
      <c r="Q2" s="1077" t="s">
        <v>1201</v>
      </c>
      <c r="R2" s="123" t="s">
        <v>1202</v>
      </c>
      <c r="S2" s="123" t="s">
        <v>1203</v>
      </c>
      <c r="T2" s="1078" t="s">
        <v>1204</v>
      </c>
      <c r="U2" s="1075" t="s">
        <v>1205</v>
      </c>
      <c r="V2" s="1079">
        <v>1</v>
      </c>
      <c r="W2" s="1080"/>
      <c r="X2" s="1080" t="s">
        <v>1206</v>
      </c>
      <c r="Y2" s="1071" t="s">
        <v>1207</v>
      </c>
      <c r="Z2" s="1081"/>
      <c r="AA2" s="1071" t="s">
        <v>1208</v>
      </c>
      <c r="AB2" s="1082" t="s">
        <v>1208</v>
      </c>
      <c r="AC2" s="1071" t="s">
        <v>1209</v>
      </c>
      <c r="AD2" s="1082" t="s">
        <v>1209</v>
      </c>
      <c r="AF2" s="1073" t="s">
        <v>1205</v>
      </c>
      <c r="AH2" s="1072" t="s">
        <v>1210</v>
      </c>
      <c r="AI2" s="1072" t="s">
        <v>1210</v>
      </c>
      <c r="AK2" s="1072" t="s">
        <v>1211</v>
      </c>
      <c r="AM2" s="1072" t="s">
        <v>1212</v>
      </c>
      <c r="AP2" s="1083" t="s">
        <v>1206</v>
      </c>
      <c r="AQ2" s="1084" t="s">
        <v>1206</v>
      </c>
      <c r="AS2" s="1071" t="s">
        <v>1213</v>
      </c>
      <c r="AU2" s="1116" t="s">
        <v>1214</v>
      </c>
      <c r="AW2" s="1116" t="s">
        <v>1215</v>
      </c>
      <c r="AX2" s="1116" t="s">
        <v>1215</v>
      </c>
      <c r="AZ2" s="1116" t="s">
        <v>1216</v>
      </c>
      <c r="BB2" s="1116" t="s">
        <v>1217</v>
      </c>
      <c r="BC2" s="1116" t="s">
        <v>1218</v>
      </c>
      <c r="BE2" s="1116">
        <v>2000</v>
      </c>
      <c r="BF2" s="1116" t="s">
        <v>1219</v>
      </c>
    </row>
    <row customHeight="1" ht="11.25">
      <c r="A3" s="1070" t="s">
        <v>1220</v>
      </c>
      <c r="B3" s="1071">
        <v>2001</v>
      </c>
      <c r="C3" s="1071">
        <v>2023</v>
      </c>
      <c r="D3" s="1071" t="s">
        <v>53</v>
      </c>
      <c r="E3" s="1072" t="s">
        <v>1221</v>
      </c>
      <c r="F3" s="1072" t="s">
        <v>1222</v>
      </c>
      <c r="G3" s="1072" t="s">
        <v>1223</v>
      </c>
      <c r="H3" s="1073" t="s">
        <v>1224</v>
      </c>
      <c r="I3" s="1072" t="s">
        <v>107</v>
      </c>
      <c r="J3" s="1072" t="s">
        <v>534</v>
      </c>
      <c r="K3" s="1074" t="s">
        <v>1225</v>
      </c>
      <c r="L3" s="1075">
        <f>_xlfn.IFERROR(MATCH(K3,OFFER_METHOD,0),0)</f>
        <v>0</v>
      </c>
      <c r="M3" s="1074">
        <v>2</v>
      </c>
      <c r="N3" s="1158" t="s">
        <v>1226</v>
      </c>
      <c r="O3" s="1073" t="s">
        <v>1227</v>
      </c>
      <c r="P3" s="1076" t="s">
        <v>1228</v>
      </c>
      <c r="Q3" s="1077" t="s">
        <v>1229</v>
      </c>
      <c r="R3" s="123" t="s">
        <v>1230</v>
      </c>
      <c r="S3" s="123" t="s">
        <v>1231</v>
      </c>
      <c r="T3" s="1078" t="s">
        <v>1232</v>
      </c>
      <c r="U3" s="1075" t="s">
        <v>1233</v>
      </c>
      <c r="V3" s="1079">
        <v>2</v>
      </c>
      <c r="W3" s="1080"/>
      <c r="X3" s="1080" t="s">
        <v>1234</v>
      </c>
      <c r="Y3" s="1071" t="s">
        <v>1207</v>
      </c>
      <c r="Z3" s="1081"/>
      <c r="AA3" s="1071" t="s">
        <v>1235</v>
      </c>
      <c r="AB3" s="1082" t="s">
        <v>1235</v>
      </c>
      <c r="AC3" s="1071" t="s">
        <v>1236</v>
      </c>
      <c r="AD3" s="1082" t="s">
        <v>1236</v>
      </c>
      <c r="AF3" s="1073" t="s">
        <v>1233</v>
      </c>
      <c r="AH3" s="1072" t="s">
        <v>1237</v>
      </c>
      <c r="AI3" s="1072" t="s">
        <v>1238</v>
      </c>
      <c r="AK3" s="1072" t="s">
        <v>1239</v>
      </c>
      <c r="AM3" s="1072" t="s">
        <v>1240</v>
      </c>
      <c r="AP3" s="1083" t="s">
        <v>1241</v>
      </c>
      <c r="AQ3" s="1084" t="s">
        <v>1241</v>
      </c>
      <c r="AS3" s="1071" t="s">
        <v>1242</v>
      </c>
      <c r="AU3" s="1116" t="s">
        <v>1243</v>
      </c>
      <c r="AW3" s="1116" t="s">
        <v>1244</v>
      </c>
      <c r="AX3" s="1116" t="s">
        <v>1244</v>
      </c>
      <c r="AZ3" s="1116" t="s">
        <v>1245</v>
      </c>
      <c r="BB3" s="1116" t="s">
        <v>1246</v>
      </c>
      <c r="BC3" s="1116" t="s">
        <v>1218</v>
      </c>
      <c r="BE3" s="1116">
        <v>2001</v>
      </c>
      <c r="BF3" s="1116" t="s">
        <v>1247</v>
      </c>
      <c r="BH3" s="1063" t="s">
        <v>1248</v>
      </c>
      <c r="BJ3" s="1063" t="s">
        <v>1249</v>
      </c>
      <c r="BL3" s="1063" t="s">
        <v>1250</v>
      </c>
      <c r="BN3" s="1063" t="s">
        <v>1251</v>
      </c>
      <c r="BR3" s="1063" t="s">
        <v>1252</v>
      </c>
      <c r="BS3" s="1446"/>
      <c r="BT3" s="1066"/>
      <c r="BU3" s="1063" t="s">
        <v>1253</v>
      </c>
      <c r="BV3" s="1066"/>
      <c r="BW3" s="0"/>
      <c r="BX3" s="1717" t="s">
        <v>1254</v>
      </c>
      <c r="CA3" s="1063" t="s">
        <v>1255</v>
      </c>
    </row>
    <row customHeight="1" ht="11.25">
      <c r="A4" s="1070" t="s">
        <v>1256</v>
      </c>
      <c r="B4" s="1071">
        <v>2002</v>
      </c>
      <c r="C4" s="1071">
        <v>2024</v>
      </c>
      <c r="E4" s="1072" t="s">
        <v>1257</v>
      </c>
      <c r="F4" s="1072" t="s">
        <v>1258</v>
      </c>
      <c r="H4" s="1073" t="s">
        <v>1259</v>
      </c>
      <c r="I4" s="1072" t="s">
        <v>86</v>
      </c>
      <c r="J4" s="1072" t="s">
        <v>1260</v>
      </c>
      <c r="K4" s="1074" t="s">
        <v>1261</v>
      </c>
      <c r="L4" s="1075">
        <f>_xlfn.IFERROR(MATCH(K4,OFFER_METHOD,0),0)</f>
        <v>0</v>
      </c>
      <c r="M4" s="1074">
        <v>3</v>
      </c>
      <c r="N4" s="1158" t="s">
        <v>1262</v>
      </c>
      <c r="O4" s="1072" t="s">
        <v>1263</v>
      </c>
      <c r="Q4" s="1077" t="s">
        <v>1264</v>
      </c>
      <c r="R4" s="123" t="s">
        <v>1265</v>
      </c>
      <c r="S4" s="123" t="s">
        <v>1266</v>
      </c>
      <c r="T4" s="1078" t="s">
        <v>1267</v>
      </c>
      <c r="U4" s="1075" t="s">
        <v>1268</v>
      </c>
      <c r="V4" s="1079">
        <v>3</v>
      </c>
      <c r="W4" s="1080"/>
      <c r="X4" s="1080" t="s">
        <v>1269</v>
      </c>
      <c r="Y4" s="1071" t="s">
        <v>1207</v>
      </c>
      <c r="Z4" s="1086"/>
      <c r="AC4" s="1071" t="s">
        <v>1270</v>
      </c>
      <c r="AD4" s="1082" t="s">
        <v>1270</v>
      </c>
      <c r="AF4" s="1073" t="s">
        <v>1268</v>
      </c>
      <c r="AH4" s="1073" t="s">
        <v>1271</v>
      </c>
      <c r="AK4" s="1072" t="s">
        <v>1272</v>
      </c>
      <c r="AM4" s="1072" t="s">
        <v>1273</v>
      </c>
      <c r="AP4" s="1083" t="s">
        <v>1234</v>
      </c>
      <c r="AQ4" s="1084" t="s">
        <v>1234</v>
      </c>
      <c r="AS4" s="1071" t="s">
        <v>1274</v>
      </c>
      <c r="AU4" s="1116" t="s">
        <v>1275</v>
      </c>
      <c r="AW4" s="1116" t="s">
        <v>1276</v>
      </c>
      <c r="AX4" s="1116" t="s">
        <v>1276</v>
      </c>
      <c r="AZ4" s="1116" t="s">
        <v>1277</v>
      </c>
      <c r="BB4" s="1116" t="s">
        <v>1278</v>
      </c>
      <c r="BC4" s="1116" t="s">
        <v>1279</v>
      </c>
      <c r="BE4" s="1116">
        <v>2002</v>
      </c>
      <c r="BF4" s="1116" t="s">
        <v>1280</v>
      </c>
      <c r="BH4" s="1064" t="s">
        <v>1281</v>
      </c>
      <c r="BJ4" s="1064" t="s">
        <v>1281</v>
      </c>
      <c r="BL4" s="1064" t="s">
        <v>1281</v>
      </c>
      <c r="BN4" s="1064" t="s">
        <v>1281</v>
      </c>
      <c r="BQ4" s="1450" t="s">
        <v>1282</v>
      </c>
      <c r="BR4" s="1155" t="s">
        <v>1283</v>
      </c>
      <c r="BS4" s="253"/>
      <c r="BT4" s="1450" t="s">
        <v>1284</v>
      </c>
      <c r="BU4" s="1155" t="s">
        <v>1285</v>
      </c>
      <c r="BV4" s="1066"/>
      <c r="BW4" s="1722" t="s">
        <v>1286</v>
      </c>
      <c r="BX4" s="1716" t="s">
        <v>1287</v>
      </c>
      <c r="BZ4" s="1450" t="s">
        <v>1288</v>
      </c>
      <c r="CA4" s="1155" t="s">
        <v>1289</v>
      </c>
    </row>
    <row customHeight="1" ht="11.25">
      <c r="A5" s="1070" t="s">
        <v>1290</v>
      </c>
      <c r="B5" s="1071">
        <v>2003</v>
      </c>
      <c r="C5" s="1071">
        <v>2025</v>
      </c>
      <c r="E5" s="1072" t="s">
        <v>1291</v>
      </c>
      <c r="F5" s="1072" t="s">
        <v>1292</v>
      </c>
      <c r="H5" s="1073" t="s">
        <v>1293</v>
      </c>
      <c r="I5" s="1072" t="s">
        <v>87</v>
      </c>
      <c r="K5" s="1074" t="s">
        <v>1294</v>
      </c>
      <c r="L5" s="1075">
        <f>_xlfn.IFERROR(MATCH(K5,OFFER_METHOD,0),0)</f>
        <v>0</v>
      </c>
      <c r="M5" s="1074">
        <v>4</v>
      </c>
      <c r="N5" s="1087" t="s">
        <v>1295</v>
      </c>
      <c r="O5" s="1072" t="s">
        <v>1296</v>
      </c>
      <c r="Q5" s="1077" t="s">
        <v>1297</v>
      </c>
      <c r="R5" s="123" t="s">
        <v>1298</v>
      </c>
      <c r="T5" s="1073" t="s">
        <v>1299</v>
      </c>
      <c r="U5" s="1075" t="s">
        <v>1300</v>
      </c>
      <c r="V5" s="1079">
        <v>4</v>
      </c>
      <c r="W5" s="1080"/>
      <c r="X5" s="1080" t="s">
        <v>164</v>
      </c>
      <c r="Y5" s="1071" t="s">
        <v>1301</v>
      </c>
      <c r="Z5" s="1086">
        <v>1</v>
      </c>
      <c r="AF5" s="1073" t="s">
        <v>1302</v>
      </c>
      <c r="AH5" s="1072" t="s">
        <v>1303</v>
      </c>
      <c r="AK5" s="1072" t="s">
        <v>1304</v>
      </c>
      <c r="AM5" s="1072" t="s">
        <v>1305</v>
      </c>
      <c r="AP5" s="1083" t="s">
        <v>164</v>
      </c>
      <c r="AQ5" s="1084" t="s">
        <v>164</v>
      </c>
      <c r="AU5" s="1116" t="s">
        <v>1306</v>
      </c>
      <c r="AW5" s="1116" t="s">
        <v>1307</v>
      </c>
      <c r="AX5" s="1116" t="s">
        <v>1307</v>
      </c>
      <c r="AZ5" s="1116" t="s">
        <v>1308</v>
      </c>
      <c r="BB5" s="1116" t="s">
        <v>1309</v>
      </c>
      <c r="BC5" s="1116" t="s">
        <v>1310</v>
      </c>
      <c r="BE5" s="1116">
        <v>2003</v>
      </c>
      <c r="BF5" s="1116" t="s">
        <v>1311</v>
      </c>
      <c r="BH5" s="1064" t="s">
        <v>1312</v>
      </c>
      <c r="BJ5" s="1064" t="s">
        <v>1312</v>
      </c>
      <c r="BL5" s="1064" t="s">
        <v>1312</v>
      </c>
      <c r="BN5" s="1064" t="s">
        <v>1313</v>
      </c>
      <c r="BQ5" s="1299">
        <v>4213775</v>
      </c>
      <c r="BR5" s="1064" t="s">
        <v>1206</v>
      </c>
      <c r="BS5" s="1447"/>
      <c r="BT5" s="1299">
        <v>64236871</v>
      </c>
      <c r="BU5" s="1064" t="s">
        <v>213</v>
      </c>
      <c r="BV5" s="1066"/>
      <c r="BW5" s="1720">
        <v>4213767</v>
      </c>
      <c r="BX5" s="1718" t="s">
        <v>1314</v>
      </c>
      <c r="BZ5" s="1299">
        <v>64237509</v>
      </c>
      <c r="CA5" s="1313" t="s">
        <v>1315</v>
      </c>
    </row>
    <row customHeight="1" ht="11.25">
      <c r="A6" s="1070" t="s">
        <v>1316</v>
      </c>
      <c r="B6" s="1071">
        <v>2004</v>
      </c>
      <c r="C6" s="1071">
        <v>2026</v>
      </c>
      <c r="E6" s="1072" t="s">
        <v>1317</v>
      </c>
      <c r="F6" s="1088"/>
      <c r="H6" s="1073" t="s">
        <v>1318</v>
      </c>
      <c r="I6" s="1072" t="s">
        <v>108</v>
      </c>
      <c r="J6" s="1063" t="s">
        <v>1319</v>
      </c>
      <c r="L6" s="1075">
        <f>SUM(kind_of_control_method_filter)</f>
        <v>0</v>
      </c>
      <c r="N6" s="1087" t="s">
        <v>1320</v>
      </c>
      <c r="O6" s="1072" t="s">
        <v>1321</v>
      </c>
      <c r="R6" s="123" t="s">
        <v>1201</v>
      </c>
      <c r="T6" s="1073" t="s">
        <v>1322</v>
      </c>
      <c r="U6" s="1075" t="s">
        <v>1302</v>
      </c>
      <c r="V6" s="1079">
        <v>5</v>
      </c>
      <c r="W6" s="1080"/>
      <c r="X6" s="1071" t="s">
        <v>170</v>
      </c>
      <c r="Y6" s="1071" t="s">
        <v>1323</v>
      </c>
      <c r="Z6" s="1086"/>
      <c r="AA6" s="1089"/>
      <c r="AH6" s="1072" t="s">
        <v>1324</v>
      </c>
      <c r="AK6" s="1072" t="s">
        <v>1325</v>
      </c>
      <c r="AM6" s="1072" t="s">
        <v>1326</v>
      </c>
      <c r="AP6" s="1083" t="s">
        <v>170</v>
      </c>
      <c r="AQ6" s="1084" t="s">
        <v>170</v>
      </c>
      <c r="AU6" s="1116" t="s">
        <v>1327</v>
      </c>
      <c r="AW6" s="1116" t="s">
        <v>1328</v>
      </c>
      <c r="AX6" s="1116" t="s">
        <v>1328</v>
      </c>
      <c r="BB6" s="1116" t="s">
        <v>1329</v>
      </c>
      <c r="BC6" s="1116" t="s">
        <v>1310</v>
      </c>
      <c r="BE6" s="1116">
        <v>2004</v>
      </c>
      <c r="BF6" s="1116" t="s">
        <v>1330</v>
      </c>
      <c r="BH6" s="1064" t="s">
        <v>1331</v>
      </c>
      <c r="BJ6" s="1064" t="s">
        <v>1332</v>
      </c>
      <c r="BL6" s="1064" t="s">
        <v>1332</v>
      </c>
      <c r="BN6" s="1064" t="s">
        <v>1333</v>
      </c>
      <c r="BQ6" s="1299">
        <v>4213784</v>
      </c>
      <c r="BR6" s="1313" t="s">
        <v>1241</v>
      </c>
      <c r="BS6" s="1448"/>
      <c r="BT6" s="1299">
        <v>64236872</v>
      </c>
      <c r="BU6" s="1064" t="s">
        <v>218</v>
      </c>
      <c r="BV6" s="1066"/>
      <c r="BW6" s="1720">
        <v>4213768</v>
      </c>
      <c r="BX6" s="1718" t="s">
        <v>238</v>
      </c>
      <c r="BZ6" s="1299">
        <v>64237510</v>
      </c>
      <c r="CA6" s="1064" t="s">
        <v>1334</v>
      </c>
    </row>
    <row customHeight="1" ht="11.25">
      <c r="A7" s="1070" t="s">
        <v>1335</v>
      </c>
      <c r="B7" s="1071">
        <v>2005</v>
      </c>
      <c r="E7" s="1072" t="s">
        <v>1336</v>
      </c>
      <c r="F7" s="1088"/>
      <c r="H7" s="1073" t="s">
        <v>1337</v>
      </c>
      <c r="I7" s="1072" t="s">
        <v>88</v>
      </c>
      <c r="J7" s="1072" t="s">
        <v>1338</v>
      </c>
      <c r="N7" s="1091" t="s">
        <v>1339</v>
      </c>
      <c r="O7" s="1072" t="s">
        <v>1340</v>
      </c>
      <c r="U7" s="1075" t="s">
        <v>53</v>
      </c>
      <c r="V7" s="362" t="s">
        <v>88</v>
      </c>
      <c r="W7" s="1080"/>
      <c r="X7" s="1071" t="s">
        <v>176</v>
      </c>
      <c r="Y7" s="1071" t="s">
        <v>1301</v>
      </c>
      <c r="Z7" s="1086"/>
      <c r="AA7" s="1089"/>
      <c r="AH7" s="1072" t="s">
        <v>1341</v>
      </c>
      <c r="AK7" s="1072" t="s">
        <v>1342</v>
      </c>
      <c r="AM7" s="1072" t="s">
        <v>1343</v>
      </c>
      <c r="AP7" s="1083" t="s">
        <v>176</v>
      </c>
      <c r="AQ7" s="1084" t="s">
        <v>176</v>
      </c>
      <c r="AU7" s="1116" t="s">
        <v>1344</v>
      </c>
      <c r="AW7" s="1116" t="s">
        <v>1345</v>
      </c>
      <c r="AX7" s="1116" t="s">
        <v>1345</v>
      </c>
      <c r="AZ7" s="1063" t="s">
        <v>1346</v>
      </c>
      <c r="BB7" s="1116" t="s">
        <v>1347</v>
      </c>
      <c r="BC7" s="1116" t="s">
        <v>1310</v>
      </c>
      <c r="BE7" s="1116">
        <v>2005</v>
      </c>
      <c r="BF7" s="1116" t="s">
        <v>1348</v>
      </c>
      <c r="BH7" s="1064" t="s">
        <v>1349</v>
      </c>
      <c r="BJ7" s="1064" t="s">
        <v>1331</v>
      </c>
      <c r="BL7" s="1064" t="s">
        <v>1331</v>
      </c>
      <c r="BN7" s="1064" t="s">
        <v>1350</v>
      </c>
      <c r="BQ7" s="1299">
        <v>4213781</v>
      </c>
      <c r="BR7" s="1064" t="s">
        <v>1234</v>
      </c>
      <c r="BS7" s="1447"/>
      <c r="BT7" s="1299">
        <v>64236873</v>
      </c>
      <c r="BU7" s="1064" t="s">
        <v>223</v>
      </c>
      <c r="BV7" s="1066"/>
      <c r="BW7" s="1720">
        <v>4213769</v>
      </c>
      <c r="BX7" s="1718" t="s">
        <v>1351</v>
      </c>
      <c r="BZ7" s="1299">
        <v>64237511</v>
      </c>
      <c r="CA7" s="1064" t="s">
        <v>253</v>
      </c>
    </row>
    <row customHeight="1" ht="11.25">
      <c r="A8" s="1070" t="s">
        <v>1352</v>
      </c>
      <c r="B8" s="1071">
        <v>2006</v>
      </c>
      <c r="E8" s="1072" t="s">
        <v>1353</v>
      </c>
      <c r="F8" s="1088"/>
      <c r="I8" s="1072" t="s">
        <v>89</v>
      </c>
      <c r="J8" s="1072" t="s">
        <v>1354</v>
      </c>
      <c r="N8" s="1159" t="s">
        <v>1355</v>
      </c>
      <c r="O8" s="1072" t="s">
        <v>1356</v>
      </c>
      <c r="V8" s="362" t="s">
        <v>89</v>
      </c>
      <c r="W8" s="1080"/>
      <c r="X8" s="1071" t="s">
        <v>182</v>
      </c>
      <c r="Y8" s="1071" t="s">
        <v>1301</v>
      </c>
      <c r="Z8" s="1086"/>
      <c r="AA8" s="1089"/>
      <c r="AK8" s="1072" t="s">
        <v>1357</v>
      </c>
      <c r="AP8" s="1083" t="s">
        <v>182</v>
      </c>
      <c r="AQ8" s="1084" t="s">
        <v>182</v>
      </c>
      <c r="AU8" s="1116" t="s">
        <v>1358</v>
      </c>
      <c r="AW8" s="1116" t="s">
        <v>1359</v>
      </c>
      <c r="AX8" s="1116" t="s">
        <v>1359</v>
      </c>
      <c r="AZ8" s="1116" t="s">
        <v>1360</v>
      </c>
      <c r="BB8" s="1116" t="s">
        <v>1361</v>
      </c>
      <c r="BC8" s="1116" t="s">
        <v>1310</v>
      </c>
      <c r="BE8" s="1116">
        <v>2006</v>
      </c>
      <c r="BF8" s="1116" t="s">
        <v>1362</v>
      </c>
      <c r="BH8" s="1064" t="s">
        <v>1363</v>
      </c>
      <c r="BJ8" s="1064" t="s">
        <v>1364</v>
      </c>
      <c r="BL8" s="1064" t="s">
        <v>1364</v>
      </c>
      <c r="BN8" s="1064" t="s">
        <v>1365</v>
      </c>
      <c r="BQ8" s="1299">
        <v>4213776</v>
      </c>
      <c r="BR8" s="1064" t="s">
        <v>164</v>
      </c>
      <c r="BS8" s="1447"/>
      <c r="BT8" s="1299">
        <v>64236874</v>
      </c>
      <c r="BU8" s="1313" t="s">
        <v>1366</v>
      </c>
      <c r="BV8" s="1066"/>
      <c r="BW8" s="1720">
        <v>4213770</v>
      </c>
      <c r="BX8" s="1721" t="s">
        <v>1367</v>
      </c>
      <c r="BZ8" s="1299">
        <v>64237512</v>
      </c>
      <c r="CA8" s="1064" t="s">
        <v>248</v>
      </c>
    </row>
    <row customHeight="1" ht="11.25">
      <c r="A9" s="1070" t="s">
        <v>1368</v>
      </c>
      <c r="B9" s="1071">
        <v>2007</v>
      </c>
      <c r="E9" s="1072" t="s">
        <v>1369</v>
      </c>
      <c r="F9" s="1088"/>
      <c r="G9" s="1063" t="s">
        <v>1370</v>
      </c>
      <c r="H9" s="1063" t="s">
        <v>1371</v>
      </c>
      <c r="I9" s="1072" t="s">
        <v>109</v>
      </c>
      <c r="O9" s="1072" t="s">
        <v>1372</v>
      </c>
      <c r="V9" s="362" t="s">
        <v>109</v>
      </c>
      <c r="W9" s="1080"/>
      <c r="X9" s="1071" t="s">
        <v>188</v>
      </c>
      <c r="Y9" s="1071" t="s">
        <v>1207</v>
      </c>
      <c r="Z9" s="1086">
        <v>1</v>
      </c>
      <c r="AA9" s="1089"/>
      <c r="AK9" s="1072" t="s">
        <v>1373</v>
      </c>
      <c r="AP9" s="1083" t="s">
        <v>1374</v>
      </c>
      <c r="AQ9" s="1084" t="s">
        <v>1374</v>
      </c>
      <c r="AW9" s="1116" t="s">
        <v>1375</v>
      </c>
      <c r="AX9" s="1116" t="s">
        <v>1375</v>
      </c>
      <c r="AZ9" s="1116" t="s">
        <v>1376</v>
      </c>
      <c r="BB9" s="1116" t="s">
        <v>1377</v>
      </c>
      <c r="BC9" s="1116" t="s">
        <v>1310</v>
      </c>
      <c r="BE9" s="1116">
        <v>2007</v>
      </c>
      <c r="BF9" s="1116" t="s">
        <v>1378</v>
      </c>
      <c r="BH9" s="1064" t="s">
        <v>1379</v>
      </c>
      <c r="BJ9" s="1064" t="s">
        <v>1380</v>
      </c>
      <c r="BL9" s="1064" t="s">
        <v>1380</v>
      </c>
      <c r="BN9" s="1064" t="s">
        <v>1381</v>
      </c>
      <c r="BQ9" s="1299">
        <v>4213777</v>
      </c>
      <c r="BR9" s="1064" t="s">
        <v>170</v>
      </c>
      <c r="BS9" s="1447"/>
      <c r="BT9" s="1299">
        <v>64236875</v>
      </c>
      <c r="BU9" s="1064" t="s">
        <v>228</v>
      </c>
      <c r="BV9" s="1066"/>
      <c r="BW9" s="0"/>
      <c r="BX9" s="0"/>
    </row>
    <row customHeight="1" ht="11.25">
      <c r="A10" s="1070" t="s">
        <v>1382</v>
      </c>
      <c r="B10" s="1071">
        <v>2008</v>
      </c>
      <c r="E10" s="1072" t="s">
        <v>1383</v>
      </c>
      <c r="F10" s="1088"/>
      <c r="G10" s="1072" t="s">
        <v>1384</v>
      </c>
      <c r="H10" s="1072" t="s">
        <v>1385</v>
      </c>
      <c r="I10" s="1072" t="s">
        <v>146</v>
      </c>
      <c r="J10" s="1063" t="s">
        <v>1386</v>
      </c>
      <c r="K10" s="1063" t="s">
        <v>1387</v>
      </c>
      <c r="O10" s="1072" t="s">
        <v>1388</v>
      </c>
      <c r="V10" s="363" t="s">
        <v>146</v>
      </c>
      <c r="W10" s="1092"/>
      <c r="X10" s="1092" t="s">
        <v>1389</v>
      </c>
      <c r="Y10" s="1093" t="s">
        <v>1390</v>
      </c>
      <c r="Z10" s="1086"/>
      <c r="AP10" s="1083" t="s">
        <v>1389</v>
      </c>
      <c r="AQ10" s="1084" t="s">
        <v>1389</v>
      </c>
      <c r="AW10" s="1116" t="s">
        <v>1391</v>
      </c>
      <c r="AX10" s="1116" t="s">
        <v>1391</v>
      </c>
      <c r="AZ10" s="1116" t="s">
        <v>1392</v>
      </c>
      <c r="BB10" s="1116" t="s">
        <v>1393</v>
      </c>
      <c r="BC10" s="1116" t="s">
        <v>1310</v>
      </c>
      <c r="BE10" s="1116">
        <v>2008</v>
      </c>
      <c r="BF10" s="1116" t="s">
        <v>1394</v>
      </c>
      <c r="BH10" s="1064" t="s">
        <v>1395</v>
      </c>
      <c r="BJ10" s="1064" t="s">
        <v>1396</v>
      </c>
      <c r="BL10" s="1064" t="s">
        <v>1396</v>
      </c>
      <c r="BN10" s="1064" t="s">
        <v>1397</v>
      </c>
      <c r="BQ10" s="1299">
        <v>4213778</v>
      </c>
      <c r="BR10" s="1064" t="s">
        <v>176</v>
      </c>
      <c r="BS10" s="1447"/>
      <c r="BT10" s="1299">
        <v>64236876</v>
      </c>
      <c r="BU10" s="1064" t="s">
        <v>208</v>
      </c>
      <c r="BV10" s="1066"/>
      <c r="BW10" s="0"/>
      <c r="BX10" s="0"/>
    </row>
    <row customHeight="1" ht="11.25">
      <c r="A11" s="1070" t="s">
        <v>1398</v>
      </c>
      <c r="B11" s="1071">
        <v>2009</v>
      </c>
      <c r="E11" s="1072" t="s">
        <v>1399</v>
      </c>
      <c r="F11" s="1088"/>
      <c r="G11" s="1072" t="s">
        <v>1400</v>
      </c>
      <c r="H11" s="1072" t="s">
        <v>1401</v>
      </c>
      <c r="I11" s="1072" t="s">
        <v>147</v>
      </c>
      <c r="J11" s="1073" t="s">
        <v>1402</v>
      </c>
      <c r="K11" s="1094" t="s">
        <v>1403</v>
      </c>
      <c r="O11" s="1073" t="s">
        <v>1404</v>
      </c>
      <c r="V11" s="362" t="s">
        <v>147</v>
      </c>
      <c r="W11" s="254"/>
      <c r="X11" s="1080" t="s">
        <v>1374</v>
      </c>
      <c r="Y11" s="1071" t="s">
        <v>1405</v>
      </c>
      <c r="Z11" s="1086"/>
      <c r="AP11" s="1083" t="s">
        <v>188</v>
      </c>
      <c r="AQ11" s="1085" t="s">
        <v>188</v>
      </c>
      <c r="AW11" s="1116" t="s">
        <v>1406</v>
      </c>
      <c r="AX11" s="1116" t="s">
        <v>1406</v>
      </c>
      <c r="AZ11" s="1116" t="s">
        <v>1407</v>
      </c>
      <c r="BB11" s="1116" t="s">
        <v>1408</v>
      </c>
      <c r="BC11" s="1116" t="s">
        <v>1310</v>
      </c>
      <c r="BE11" s="1116">
        <v>2009</v>
      </c>
      <c r="BF11" s="1116" t="s">
        <v>1409</v>
      </c>
      <c r="BH11" s="1064" t="s">
        <v>1410</v>
      </c>
      <c r="BJ11" s="1064" t="s">
        <v>1379</v>
      </c>
      <c r="BL11" s="1064" t="s">
        <v>1379</v>
      </c>
      <c r="BN11" s="1064" t="s">
        <v>1411</v>
      </c>
      <c r="BQ11" s="1299">
        <v>4213780</v>
      </c>
      <c r="BR11" s="1064" t="s">
        <v>182</v>
      </c>
      <c r="BS11" s="1447"/>
      <c r="BW11" s="0"/>
      <c r="BX11" s="0"/>
    </row>
    <row customHeight="1" ht="11.25">
      <c r="A12" s="1070" t="s">
        <v>1412</v>
      </c>
      <c r="B12" s="1071">
        <v>2010</v>
      </c>
      <c r="E12" s="1072" t="s">
        <v>1413</v>
      </c>
      <c r="F12" s="1088"/>
      <c r="G12" s="1072" t="s">
        <v>1401</v>
      </c>
      <c r="I12" s="1072" t="s">
        <v>148</v>
      </c>
      <c r="J12" s="1073" t="s">
        <v>1414</v>
      </c>
      <c r="K12" s="1094" t="s">
        <v>1415</v>
      </c>
      <c r="O12" s="1073" t="s">
        <v>1201</v>
      </c>
      <c r="V12" s="362" t="s">
        <v>148</v>
      </c>
      <c r="W12" s="1085"/>
      <c r="X12" s="1080" t="s">
        <v>1416</v>
      </c>
      <c r="Y12" s="1071" t="s">
        <v>1207</v>
      </c>
      <c r="AP12" s="1083"/>
      <c r="AW12" s="1116" t="s">
        <v>147</v>
      </c>
      <c r="AX12" s="1116" t="s">
        <v>147</v>
      </c>
      <c r="AZ12" s="1116" t="s">
        <v>1417</v>
      </c>
      <c r="BB12" s="1116" t="s">
        <v>1418</v>
      </c>
      <c r="BC12" s="1116" t="s">
        <v>1310</v>
      </c>
      <c r="BE12" s="1116">
        <v>2010</v>
      </c>
      <c r="BF12" s="1116" t="s">
        <v>1419</v>
      </c>
      <c r="BH12" s="1064" t="s">
        <v>1420</v>
      </c>
      <c r="BJ12" s="1064" t="s">
        <v>1421</v>
      </c>
      <c r="BL12" s="1064" t="s">
        <v>1421</v>
      </c>
      <c r="BN12" s="1064" t="s">
        <v>1422</v>
      </c>
      <c r="BQ12" s="1299">
        <v>4213779</v>
      </c>
      <c r="BR12" s="1064" t="s">
        <v>1374</v>
      </c>
      <c r="BS12" s="1447"/>
      <c r="BT12" s="1066"/>
      <c r="BU12" s="1066"/>
      <c r="BV12" s="1066"/>
      <c r="BW12" s="0"/>
      <c r="BX12" s="0"/>
    </row>
    <row customHeight="1" ht="11.25">
      <c r="A13" s="1070" t="s">
        <v>1423</v>
      </c>
      <c r="B13" s="1071">
        <v>2011</v>
      </c>
      <c r="E13" s="1072" t="s">
        <v>1424</v>
      </c>
      <c r="F13" s="1088"/>
      <c r="I13" s="1072" t="s">
        <v>149</v>
      </c>
      <c r="K13" s="1094" t="s">
        <v>1373</v>
      </c>
      <c r="V13" s="362" t="s">
        <v>149</v>
      </c>
      <c r="W13" s="1085"/>
      <c r="X13" s="1085"/>
      <c r="Y13" s="1085"/>
      <c r="AW13" s="1116" t="s">
        <v>148</v>
      </c>
      <c r="AX13" s="1116" t="s">
        <v>148</v>
      </c>
      <c r="BB13" s="1116" t="s">
        <v>1425</v>
      </c>
      <c r="BC13" s="1116" t="s">
        <v>1426</v>
      </c>
      <c r="BE13" s="1116">
        <v>2011</v>
      </c>
      <c r="BF13" s="1116" t="s">
        <v>1427</v>
      </c>
      <c r="BH13" s="1064" t="s">
        <v>1428</v>
      </c>
      <c r="BJ13" s="1064" t="s">
        <v>1410</v>
      </c>
      <c r="BL13" s="1064" t="s">
        <v>1410</v>
      </c>
      <c r="BN13" s="1064" t="s">
        <v>1429</v>
      </c>
      <c r="BQ13" s="1299">
        <v>4213783</v>
      </c>
      <c r="BR13" s="1064" t="s">
        <v>1389</v>
      </c>
      <c r="BS13" s="1447"/>
      <c r="BT13" s="1066"/>
      <c r="BU13" s="1066"/>
      <c r="BV13" s="1066"/>
      <c r="BW13" s="1719"/>
      <c r="BX13" s="0"/>
    </row>
    <row customHeight="1" ht="11.25">
      <c r="A14" s="1070" t="s">
        <v>1430</v>
      </c>
      <c r="B14" s="1071">
        <v>2012</v>
      </c>
      <c r="I14" s="1072" t="s">
        <v>150</v>
      </c>
      <c r="J14" s="1063" t="s">
        <v>1431</v>
      </c>
      <c r="N14" s="1063" t="s">
        <v>1432</v>
      </c>
      <c r="V14" s="1079">
        <v>13</v>
      </c>
      <c r="W14" s="1080"/>
      <c r="X14" s="1080" t="s">
        <v>1241</v>
      </c>
      <c r="Y14" s="1071" t="s">
        <v>1207</v>
      </c>
      <c r="AW14" s="1116" t="s">
        <v>149</v>
      </c>
      <c r="AX14" s="1116" t="s">
        <v>149</v>
      </c>
      <c r="AZ14" s="1063" t="s">
        <v>1433</v>
      </c>
      <c r="BB14" s="1116" t="s">
        <v>1434</v>
      </c>
      <c r="BC14" s="1116" t="s">
        <v>1426</v>
      </c>
      <c r="BE14" s="1116">
        <v>2012</v>
      </c>
      <c r="BH14" s="1064" t="s">
        <v>1350</v>
      </c>
      <c r="BJ14" s="1217" t="s">
        <v>1435</v>
      </c>
      <c r="BL14" s="1217" t="s">
        <v>1435</v>
      </c>
      <c r="BN14" s="1064" t="s">
        <v>1436</v>
      </c>
      <c r="BQ14" s="1299">
        <v>4213782</v>
      </c>
      <c r="BR14" s="1064" t="s">
        <v>188</v>
      </c>
      <c r="BS14" s="1447"/>
      <c r="BT14" s="1066"/>
      <c r="BU14" s="1066"/>
      <c r="BV14" s="1066"/>
      <c r="BW14" s="1719"/>
      <c r="BX14" s="0"/>
    </row>
    <row customHeight="1" ht="19.5">
      <c r="A15" s="1070" t="s">
        <v>1437</v>
      </c>
      <c r="B15" s="1071">
        <v>2013</v>
      </c>
      <c r="E15" s="1723" t="s">
        <v>1438</v>
      </c>
      <c r="G15" s="1063" t="s">
        <v>1439</v>
      </c>
      <c r="H15" s="1063" t="s">
        <v>1440</v>
      </c>
      <c r="I15" s="1074" t="s">
        <v>151</v>
      </c>
      <c r="J15" s="1085" t="s">
        <v>561</v>
      </c>
      <c r="N15" s="1154" t="s">
        <v>1441</v>
      </c>
      <c r="X15" s="1083"/>
      <c r="AW15" s="1116" t="s">
        <v>150</v>
      </c>
      <c r="AX15" s="1116" t="s">
        <v>150</v>
      </c>
      <c r="AZ15" s="1116" t="s">
        <v>1360</v>
      </c>
      <c r="BB15" s="1116" t="s">
        <v>1442</v>
      </c>
      <c r="BC15" s="1116" t="s">
        <v>1426</v>
      </c>
      <c r="BE15" s="1116">
        <v>2013</v>
      </c>
      <c r="BH15" s="1064" t="s">
        <v>1365</v>
      </c>
      <c r="BJ15" s="1217" t="s">
        <v>1443</v>
      </c>
      <c r="BL15" s="1217" t="s">
        <v>1443</v>
      </c>
      <c r="BN15" s="1064" t="s">
        <v>1444</v>
      </c>
      <c r="BR15" s="1066"/>
      <c r="BS15" s="1449"/>
      <c r="BT15" s="1066"/>
      <c r="BU15" s="1066"/>
      <c r="BV15" s="1066"/>
      <c r="BW15" s="1719"/>
      <c r="BX15" s="0"/>
    </row>
    <row customHeight="1" ht="21">
      <c r="A16" s="1896" t="s">
        <v>1445</v>
      </c>
      <c r="B16" s="1071">
        <v>2014</v>
      </c>
      <c r="E16" s="1724" t="s">
        <v>1446</v>
      </c>
      <c r="G16" s="1072" t="s">
        <v>1447</v>
      </c>
      <c r="H16" s="1072" t="s">
        <v>1448</v>
      </c>
      <c r="I16" s="1074" t="s">
        <v>95</v>
      </c>
      <c r="J16" s="1085" t="s">
        <v>534</v>
      </c>
      <c r="N16" s="1154" t="s">
        <v>1449</v>
      </c>
      <c r="AW16" s="1116" t="s">
        <v>151</v>
      </c>
      <c r="AX16" s="1116" t="s">
        <v>151</v>
      </c>
      <c r="AZ16" s="1116" t="s">
        <v>1376</v>
      </c>
      <c r="BB16" s="1116" t="s">
        <v>1450</v>
      </c>
      <c r="BC16" s="1116" t="s">
        <v>1426</v>
      </c>
      <c r="BE16" s="1116">
        <v>2014</v>
      </c>
      <c r="BH16" s="1064" t="s">
        <v>1381</v>
      </c>
      <c r="BJ16" s="1217" t="s">
        <v>1451</v>
      </c>
      <c r="BL16" s="1217" t="s">
        <v>1451</v>
      </c>
      <c r="BN16" s="1064" t="s">
        <v>1452</v>
      </c>
      <c r="BR16" s="1066"/>
      <c r="BS16" s="1449"/>
      <c r="BT16" s="1066"/>
      <c r="BU16" s="1066"/>
      <c r="BV16" s="1066"/>
      <c r="BW16" s="1719"/>
      <c r="BX16" s="0"/>
    </row>
    <row customHeight="1" ht="21">
      <c r="A17" s="1070" t="s">
        <v>1453</v>
      </c>
      <c r="B17" s="1071">
        <v>2015</v>
      </c>
      <c r="G17" s="1072" t="s">
        <v>1401</v>
      </c>
      <c r="H17" s="1072" t="s">
        <v>1401</v>
      </c>
      <c r="I17" s="1072" t="s">
        <v>1454</v>
      </c>
      <c r="N17" s="1154" t="s">
        <v>1455</v>
      </c>
      <c r="X17" s="1083"/>
      <c r="AW17" s="1116" t="s">
        <v>95</v>
      </c>
      <c r="AX17" s="1116" t="s">
        <v>95</v>
      </c>
      <c r="AZ17" s="1116" t="s">
        <v>1456</v>
      </c>
      <c r="BB17" s="1116" t="s">
        <v>1457</v>
      </c>
      <c r="BC17" s="1116" t="s">
        <v>1310</v>
      </c>
      <c r="BE17" s="1116">
        <v>2015</v>
      </c>
      <c r="BH17" s="1064" t="s">
        <v>1397</v>
      </c>
      <c r="BJ17" s="1217" t="s">
        <v>1458</v>
      </c>
      <c r="BL17" s="1217" t="s">
        <v>1458</v>
      </c>
      <c r="BN17" s="1064" t="s">
        <v>1459</v>
      </c>
      <c r="BR17" s="1063" t="s">
        <v>1252</v>
      </c>
      <c r="BS17" s="1446"/>
      <c r="BU17" s="1063" t="s">
        <v>1460</v>
      </c>
      <c r="BV17" s="1066"/>
      <c r="BW17" s="0"/>
      <c r="BX17" s="1717" t="s">
        <v>1461</v>
      </c>
      <c r="CA17" s="1063" t="s">
        <v>1462</v>
      </c>
      <c r="CD17" s="1063" t="s">
        <v>1463</v>
      </c>
    </row>
    <row customHeight="1" ht="21">
      <c r="A18" s="1070" t="s">
        <v>1464</v>
      </c>
      <c r="B18" s="1071">
        <v>2016</v>
      </c>
      <c r="I18" s="1072" t="s">
        <v>1465</v>
      </c>
      <c r="N18" s="1154" t="s">
        <v>1466</v>
      </c>
      <c r="X18" s="1083"/>
      <c r="AW18" s="1116" t="s">
        <v>1454</v>
      </c>
      <c r="AX18" s="1116" t="s">
        <v>1454</v>
      </c>
      <c r="BB18" s="1116" t="s">
        <v>1467</v>
      </c>
      <c r="BC18" s="1116" t="s">
        <v>1310</v>
      </c>
      <c r="BE18" s="1116">
        <v>2016</v>
      </c>
      <c r="BH18" s="1064" t="s">
        <v>1411</v>
      </c>
      <c r="BJ18" s="1217" t="s">
        <v>1468</v>
      </c>
      <c r="BL18" s="1217" t="s">
        <v>1468</v>
      </c>
      <c r="BN18" s="1064" t="s">
        <v>1469</v>
      </c>
      <c r="BQ18" s="1450" t="s">
        <v>1282</v>
      </c>
      <c r="BR18" s="1155" t="s">
        <v>1283</v>
      </c>
      <c r="BS18" s="253"/>
      <c r="BT18" s="1450" t="s">
        <v>1470</v>
      </c>
      <c r="BU18" s="1155" t="s">
        <v>1471</v>
      </c>
      <c r="BV18" s="1066"/>
      <c r="BW18" s="1722" t="s">
        <v>1472</v>
      </c>
      <c r="BX18" s="1716" t="s">
        <v>1473</v>
      </c>
      <c r="BZ18" s="1450" t="s">
        <v>1474</v>
      </c>
      <c r="CA18" s="1155" t="s">
        <v>1475</v>
      </c>
      <c r="CC18" s="1450" t="s">
        <v>1476</v>
      </c>
      <c r="CD18" s="1155" t="s">
        <v>1477</v>
      </c>
    </row>
    <row customHeight="1" ht="21">
      <c r="A19" s="1896" t="s">
        <v>1478</v>
      </c>
      <c r="B19" s="1071">
        <v>2017</v>
      </c>
      <c r="I19" s="1072" t="s">
        <v>1479</v>
      </c>
      <c r="N19" s="1154" t="s">
        <v>1480</v>
      </c>
      <c r="X19" s="1083"/>
      <c r="AW19" s="1116" t="s">
        <v>1465</v>
      </c>
      <c r="AX19" s="1116" t="s">
        <v>1465</v>
      </c>
      <c r="AZ19" s="1063" t="s">
        <v>1481</v>
      </c>
      <c r="BB19" s="1116" t="s">
        <v>1482</v>
      </c>
      <c r="BC19" s="1116" t="s">
        <v>1310</v>
      </c>
      <c r="BE19" s="1116">
        <v>2017</v>
      </c>
      <c r="BH19" s="1064" t="s">
        <v>1483</v>
      </c>
      <c r="BJ19" s="1217" t="s">
        <v>1484</v>
      </c>
      <c r="BL19" s="1217" t="s">
        <v>1484</v>
      </c>
      <c r="BQ19" s="1299">
        <v>4190064</v>
      </c>
      <c r="BR19" s="1064" t="s">
        <v>1485</v>
      </c>
      <c r="BS19" s="1447"/>
      <c r="BT19" s="1299">
        <v>4189671</v>
      </c>
      <c r="BU19" s="1064" t="s">
        <v>1486</v>
      </c>
      <c r="BV19" s="1066"/>
      <c r="BW19" s="1720">
        <v>4189706</v>
      </c>
      <c r="BX19" s="1718" t="s">
        <v>1487</v>
      </c>
      <c r="BZ19" s="1299">
        <v>4189714</v>
      </c>
      <c r="CA19" s="1064" t="s">
        <v>1488</v>
      </c>
      <c r="CC19" s="1299">
        <v>4189708</v>
      </c>
      <c r="CD19" s="1064" t="s">
        <v>1489</v>
      </c>
    </row>
    <row customHeight="1" ht="21">
      <c r="A20" s="1070" t="s">
        <v>1490</v>
      </c>
      <c r="B20" s="1071">
        <v>2018</v>
      </c>
      <c r="I20" s="1072" t="s">
        <v>1491</v>
      </c>
      <c r="N20" s="1154" t="s">
        <v>1492</v>
      </c>
      <c r="AW20" s="1116" t="s">
        <v>1479</v>
      </c>
      <c r="AX20" s="1116" t="s">
        <v>1479</v>
      </c>
      <c r="AZ20" s="1116" t="s">
        <v>1493</v>
      </c>
      <c r="BB20" s="1116" t="s">
        <v>1494</v>
      </c>
      <c r="BC20" s="1116" t="s">
        <v>1426</v>
      </c>
      <c r="BE20" s="1116">
        <v>2018</v>
      </c>
      <c r="BH20" s="1064" t="s">
        <v>1422</v>
      </c>
      <c r="BJ20" s="1064" t="s">
        <v>1350</v>
      </c>
      <c r="BL20" s="1064" t="s">
        <v>1350</v>
      </c>
      <c r="BQ20" s="1299">
        <v>4190065</v>
      </c>
      <c r="BR20" s="1064" t="s">
        <v>1495</v>
      </c>
      <c r="BS20" s="1447"/>
      <c r="BT20" s="1299">
        <v>4189672</v>
      </c>
      <c r="BU20" s="1064" t="s">
        <v>1496</v>
      </c>
      <c r="BV20" s="1066"/>
      <c r="BW20" s="1720">
        <v>4189705</v>
      </c>
      <c r="BX20" s="1718" t="s">
        <v>1497</v>
      </c>
      <c r="BZ20" s="1299">
        <v>4189713</v>
      </c>
      <c r="CA20" s="1064" t="s">
        <v>1497</v>
      </c>
      <c r="CC20" s="1299">
        <v>4189709</v>
      </c>
      <c r="CD20" s="1064" t="s">
        <v>1498</v>
      </c>
    </row>
    <row customHeight="1" ht="21">
      <c r="A21" s="1070" t="s">
        <v>1499</v>
      </c>
      <c r="B21" s="1071">
        <v>2019</v>
      </c>
      <c r="I21" s="1072" t="s">
        <v>1500</v>
      </c>
      <c r="N21" s="1154" t="s">
        <v>1501</v>
      </c>
      <c r="AW21" s="1116" t="s">
        <v>1491</v>
      </c>
      <c r="AX21" s="1116" t="s">
        <v>1491</v>
      </c>
      <c r="AZ21" s="1116" t="s">
        <v>1502</v>
      </c>
      <c r="BB21" s="1116" t="s">
        <v>1503</v>
      </c>
      <c r="BC21" s="1116" t="s">
        <v>1310</v>
      </c>
      <c r="BE21" s="1116">
        <v>2019</v>
      </c>
      <c r="BH21" s="1064" t="s">
        <v>1429</v>
      </c>
      <c r="BJ21" s="1064" t="s">
        <v>1365</v>
      </c>
      <c r="BL21" s="1064" t="s">
        <v>1365</v>
      </c>
      <c r="BQ21" s="1299">
        <v>4190066</v>
      </c>
      <c r="BR21" s="1064" t="s">
        <v>1504</v>
      </c>
      <c r="BS21" s="1447"/>
      <c r="BT21" s="1299">
        <v>4189673</v>
      </c>
      <c r="BU21" s="1064" t="s">
        <v>1505</v>
      </c>
      <c r="BV21" s="1066"/>
      <c r="BW21" s="1720">
        <v>4189707</v>
      </c>
      <c r="BX21" s="1718" t="s">
        <v>1506</v>
      </c>
      <c r="BZ21" s="1299">
        <v>4189712</v>
      </c>
      <c r="CA21" s="1064" t="s">
        <v>1507</v>
      </c>
      <c r="CC21" s="1299">
        <v>4189710</v>
      </c>
      <c r="CD21" s="1064" t="s">
        <v>1508</v>
      </c>
    </row>
    <row customHeight="1" ht="21">
      <c r="A22" s="1070" t="s">
        <v>1509</v>
      </c>
      <c r="B22" s="1071">
        <v>2020</v>
      </c>
      <c r="N22" s="1154" t="s">
        <v>1510</v>
      </c>
      <c r="AW22" s="1116" t="s">
        <v>1500</v>
      </c>
      <c r="AX22" s="1116" t="s">
        <v>1500</v>
      </c>
      <c r="AZ22" s="1116" t="s">
        <v>1511</v>
      </c>
      <c r="BB22" s="1116" t="s">
        <v>1512</v>
      </c>
      <c r="BC22" s="1116" t="s">
        <v>1310</v>
      </c>
      <c r="BE22" s="1116">
        <v>2020</v>
      </c>
      <c r="BH22" s="1064" t="s">
        <v>1436</v>
      </c>
      <c r="BJ22" s="1064" t="s">
        <v>1381</v>
      </c>
      <c r="BL22" s="1064" t="s">
        <v>1381</v>
      </c>
      <c r="BQ22" s="1299">
        <v>4190067</v>
      </c>
      <c r="BR22" s="1064" t="s">
        <v>1513</v>
      </c>
      <c r="BS22" s="1447"/>
      <c r="BT22" s="1299">
        <v>4189674</v>
      </c>
      <c r="BU22" s="1064" t="s">
        <v>1514</v>
      </c>
      <c r="BV22" s="1066"/>
      <c r="BW22" s="1066"/>
      <c r="CC22" s="1299">
        <v>4189711</v>
      </c>
      <c r="CD22" s="1064" t="s">
        <v>277</v>
      </c>
    </row>
    <row customHeight="1" ht="21">
      <c r="A23" s="1070" t="s">
        <v>1515</v>
      </c>
      <c r="B23" s="1071">
        <v>2021</v>
      </c>
      <c r="AW23" s="1116" t="s">
        <v>1516</v>
      </c>
      <c r="AX23" s="1116" t="s">
        <v>1516</v>
      </c>
      <c r="AZ23" s="1116" t="s">
        <v>1517</v>
      </c>
      <c r="BB23" s="1116" t="s">
        <v>1518</v>
      </c>
      <c r="BC23" s="1116" t="s">
        <v>1218</v>
      </c>
      <c r="BE23" s="1116">
        <v>2021</v>
      </c>
      <c r="BH23" s="1064" t="s">
        <v>1444</v>
      </c>
      <c r="BJ23" s="1064" t="s">
        <v>1397</v>
      </c>
      <c r="BL23" s="1064" t="s">
        <v>1397</v>
      </c>
      <c r="BQ23" s="1299">
        <v>4190068</v>
      </c>
      <c r="BR23" s="1064" t="s">
        <v>1519</v>
      </c>
      <c r="BS23" s="1447"/>
      <c r="BT23" s="1299">
        <v>4189675</v>
      </c>
      <c r="BU23" s="1064" t="s">
        <v>1520</v>
      </c>
      <c r="BV23" s="1066"/>
      <c r="BW23" s="1066"/>
      <c r="CC23" s="1299">
        <v>5110778</v>
      </c>
      <c r="CD23" s="1064" t="s">
        <v>1521</v>
      </c>
    </row>
    <row customHeight="1" ht="21">
      <c r="A24" s="1070" t="s">
        <v>1522</v>
      </c>
      <c r="B24" s="1071">
        <v>2022</v>
      </c>
      <c r="AW24" s="1116" t="s">
        <v>1523</v>
      </c>
      <c r="AX24" s="1116" t="s">
        <v>1523</v>
      </c>
      <c r="AZ24" s="1116" t="s">
        <v>1524</v>
      </c>
      <c r="BB24" s="1116" t="s">
        <v>1525</v>
      </c>
      <c r="BC24" s="1116" t="s">
        <v>1526</v>
      </c>
      <c r="BE24" s="1116">
        <v>2022</v>
      </c>
      <c r="BH24" s="1064" t="s">
        <v>1452</v>
      </c>
      <c r="BJ24" s="1064" t="s">
        <v>1411</v>
      </c>
      <c r="BL24" s="1064" t="s">
        <v>1411</v>
      </c>
      <c r="BQ24" s="1299">
        <v>4190069</v>
      </c>
      <c r="BR24" s="1064" t="s">
        <v>1527</v>
      </c>
      <c r="BS24" s="1447"/>
      <c r="BT24" s="1299">
        <v>4189676</v>
      </c>
      <c r="BU24" s="1064" t="s">
        <v>1528</v>
      </c>
      <c r="BV24" s="1066"/>
      <c r="BW24" s="1066"/>
      <c r="CC24" s="1299">
        <v>25575374</v>
      </c>
      <c r="CD24" s="1064" t="s">
        <v>1529</v>
      </c>
    </row>
    <row customHeight="1" ht="11.25">
      <c r="A25" s="1070" t="s">
        <v>1530</v>
      </c>
      <c r="B25" s="1071">
        <v>2023</v>
      </c>
      <c r="AW25" s="1116" t="s">
        <v>1531</v>
      </c>
      <c r="AX25" s="1116" t="s">
        <v>1531</v>
      </c>
      <c r="AZ25" s="1116" t="s">
        <v>1532</v>
      </c>
      <c r="BB25" s="1116" t="s">
        <v>1533</v>
      </c>
      <c r="BC25" s="1116" t="s">
        <v>1526</v>
      </c>
      <c r="BE25" s="1116">
        <v>2023</v>
      </c>
      <c r="BH25" s="1064" t="s">
        <v>1459</v>
      </c>
      <c r="BJ25" s="1064" t="s">
        <v>1483</v>
      </c>
      <c r="BL25" s="1064" t="s">
        <v>1483</v>
      </c>
      <c r="BQ25" s="1299">
        <v>4190070</v>
      </c>
      <c r="BR25" s="1064" t="s">
        <v>1534</v>
      </c>
      <c r="BS25" s="1447"/>
      <c r="BT25" s="1299">
        <v>4189677</v>
      </c>
      <c r="BU25" s="1064" t="s">
        <v>1535</v>
      </c>
      <c r="BV25" s="1066"/>
      <c r="BW25" s="1066"/>
    </row>
    <row customHeight="1" ht="11.25">
      <c r="A26" s="1070" t="s">
        <v>1536</v>
      </c>
      <c r="B26" s="1071">
        <v>2024</v>
      </c>
      <c r="J26" s="1756" t="s">
        <v>1537</v>
      </c>
      <c r="AX26" s="1116" t="s">
        <v>1538</v>
      </c>
      <c r="AZ26" s="1116" t="s">
        <v>1404</v>
      </c>
      <c r="BB26" s="1116" t="s">
        <v>1539</v>
      </c>
      <c r="BC26" s="1116" t="s">
        <v>1526</v>
      </c>
      <c r="BE26" s="1116">
        <v>2024</v>
      </c>
      <c r="BH26" s="1064" t="s">
        <v>1469</v>
      </c>
      <c r="BJ26" s="1064" t="s">
        <v>1422</v>
      </c>
      <c r="BL26" s="1064" t="s">
        <v>1422</v>
      </c>
      <c r="BQ26" s="1299">
        <v>4190071</v>
      </c>
      <c r="BR26" s="1064" t="s">
        <v>1540</v>
      </c>
      <c r="BS26" s="1447"/>
      <c r="BV26" s="1066"/>
      <c r="BW26" s="1066"/>
    </row>
    <row customHeight="1" ht="11.25">
      <c r="A27" s="1070" t="s">
        <v>1541</v>
      </c>
      <c r="B27" s="1071">
        <v>2025</v>
      </c>
      <c r="J27" s="156" t="s">
        <v>1021</v>
      </c>
      <c r="AX27" s="1116" t="s">
        <v>1542</v>
      </c>
      <c r="BB27" s="1116" t="s">
        <v>1543</v>
      </c>
      <c r="BC27" s="1116" t="s">
        <v>1526</v>
      </c>
      <c r="BE27" s="1116">
        <v>2025</v>
      </c>
      <c r="BH27" s="1066" t="s">
        <v>18</v>
      </c>
      <c r="BJ27" s="1064" t="s">
        <v>1429</v>
      </c>
      <c r="BL27" s="1064" t="s">
        <v>1429</v>
      </c>
      <c r="BN27" s="1066" t="s">
        <v>18</v>
      </c>
      <c r="BQ27" s="1299">
        <v>4190072</v>
      </c>
      <c r="BR27" s="1064" t="s">
        <v>1544</v>
      </c>
      <c r="BS27" s="1447"/>
      <c r="BV27" s="1066"/>
      <c r="BW27" s="1066"/>
    </row>
    <row customHeight="1" ht="11.25">
      <c r="A28" s="1070" t="s">
        <v>1545</v>
      </c>
      <c r="D28" s="1096"/>
      <c r="E28" s="1097"/>
      <c r="F28" s="1097"/>
      <c r="H28" s="1098" t="s">
        <v>1546</v>
      </c>
      <c r="AX28" s="1116" t="s">
        <v>1547</v>
      </c>
      <c r="AZ28" s="1063" t="s">
        <v>1548</v>
      </c>
      <c r="BB28" s="1116" t="s">
        <v>1549</v>
      </c>
      <c r="BC28" s="1116" t="s">
        <v>1550</v>
      </c>
      <c r="BE28" s="1116">
        <v>2026</v>
      </c>
      <c r="BH28" s="1066" t="s">
        <v>18</v>
      </c>
      <c r="BJ28" s="1064" t="s">
        <v>1436</v>
      </c>
      <c r="BL28" s="1064" t="s">
        <v>1436</v>
      </c>
      <c r="BN28" s="1066" t="s">
        <v>18</v>
      </c>
      <c r="BQ28" s="1299">
        <v>4190073</v>
      </c>
      <c r="BR28" s="1064" t="s">
        <v>1551</v>
      </c>
      <c r="BS28" s="1447"/>
      <c r="BV28" s="1066"/>
      <c r="BW28" s="1066"/>
    </row>
    <row customHeight="1" ht="11.25">
      <c r="A29" s="1070" t="s">
        <v>1552</v>
      </c>
      <c r="D29" s="1099" t="s">
        <v>1553</v>
      </c>
      <c r="E29" s="1100" t="str">
        <f>IF(TEMPLATE_GROUP="","",INDEX(StartDateList,MATCH(TEMPLATE_GROUP,CodeTemplateList,0),1))</f>
        <v>01.01.2024</v>
      </c>
      <c r="F29" s="1100" t="str">
        <f>IF(TEMPLATE_GROUP="","",INDEX(EndDateList,MATCH(TEMPLATE_GROUP,CodeTemplateList,0),1))</f>
        <v>31.03.2024</v>
      </c>
      <c r="H29" s="1101" t="s">
        <v>1554</v>
      </c>
      <c r="AX29" s="1116" t="s">
        <v>1555</v>
      </c>
      <c r="AZ29" s="1116" t="s">
        <v>1202</v>
      </c>
      <c r="BB29" s="1116" t="s">
        <v>1404</v>
      </c>
      <c r="BC29" s="1086"/>
      <c r="BE29" s="1116">
        <v>2027</v>
      </c>
      <c r="BJ29" s="1064" t="s">
        <v>1444</v>
      </c>
      <c r="BL29" s="1064" t="s">
        <v>1444</v>
      </c>
    </row>
    <row customHeight="1" ht="11.25">
      <c r="A30" s="1070" t="s">
        <v>1556</v>
      </c>
      <c r="D30" s="1102"/>
      <c r="E30" s="1103"/>
      <c r="F30" s="1103"/>
      <c r="AX30" s="1116" t="s">
        <v>1557</v>
      </c>
      <c r="AZ30" s="1116" t="s">
        <v>1230</v>
      </c>
      <c r="BE30" s="1116">
        <v>2028</v>
      </c>
      <c r="BJ30" s="1064" t="s">
        <v>1558</v>
      </c>
      <c r="BL30" s="1064" t="s">
        <v>1558</v>
      </c>
    </row>
    <row customHeight="1" ht="12.75">
      <c r="A31" s="1070" t="s">
        <v>1559</v>
      </c>
      <c r="D31" s="1096"/>
      <c r="E31" s="1097"/>
      <c r="F31" s="1097"/>
      <c r="H31" s="1104"/>
      <c r="AX31" s="1116" t="s">
        <v>1560</v>
      </c>
      <c r="AZ31" s="1116" t="s">
        <v>1561</v>
      </c>
      <c r="BE31" s="1116">
        <v>2029</v>
      </c>
      <c r="BJ31" s="1064" t="s">
        <v>1562</v>
      </c>
      <c r="BL31" s="1064" t="s">
        <v>1562</v>
      </c>
    </row>
    <row customHeight="1" ht="11.25">
      <c r="A32" s="1070" t="s">
        <v>1563</v>
      </c>
      <c r="D32" s="1099" t="s">
        <v>1564</v>
      </c>
      <c r="E32" s="1100" t="str">
        <f>IF(TEMPLATE_GROUP="","",INDEX(StartDateList,MATCH(TEMPLATE_GROUP,CodeTemplateList,0),1))</f>
        <v>01.01.2024</v>
      </c>
      <c r="F32" s="1100" t="str">
        <f>IF(TEMPLATE_GROUP="","",INDEX(EndDateList,MATCH(TEMPLATE_GROUP,CodeTemplateList,0),1))</f>
        <v>31.03.2024</v>
      </c>
      <c r="H32" s="1105" t="s">
        <v>1565</v>
      </c>
      <c r="O32" s="1070" t="s">
        <v>1200</v>
      </c>
      <c r="AX32" s="1116" t="s">
        <v>1566</v>
      </c>
      <c r="AZ32" s="1116" t="s">
        <v>1298</v>
      </c>
      <c r="BE32" s="1116">
        <v>2030</v>
      </c>
      <c r="BJ32" s="1064" t="s">
        <v>1452</v>
      </c>
      <c r="BL32" s="1064" t="s">
        <v>1452</v>
      </c>
    </row>
    <row customHeight="1" ht="11.25">
      <c r="A33" s="1070" t="s">
        <v>1567</v>
      </c>
      <c r="O33" s="1070" t="s">
        <v>1227</v>
      </c>
      <c r="AX33" s="1116" t="s">
        <v>1568</v>
      </c>
      <c r="AZ33" s="1116" t="s">
        <v>1201</v>
      </c>
      <c r="BE33" s="1116">
        <v>2031</v>
      </c>
      <c r="BJ33" s="1064" t="s">
        <v>1459</v>
      </c>
      <c r="BL33" s="1064" t="s">
        <v>1459</v>
      </c>
    </row>
    <row customHeight="1" ht="11.25">
      <c r="A34" s="1070" t="s">
        <v>1569</v>
      </c>
      <c r="O34" s="1070" t="s">
        <v>1263</v>
      </c>
      <c r="AX34" s="1116" t="s">
        <v>1570</v>
      </c>
      <c r="BE34" s="1116">
        <v>2032</v>
      </c>
      <c r="BJ34" s="1064" t="s">
        <v>1469</v>
      </c>
      <c r="BL34" s="1064" t="s">
        <v>1469</v>
      </c>
    </row>
    <row customHeight="1" ht="11.25">
      <c r="A35" s="1070" t="s">
        <v>1571</v>
      </c>
      <c r="O35" s="1070" t="s">
        <v>1296</v>
      </c>
      <c r="AX35" s="1116" t="s">
        <v>1572</v>
      </c>
      <c r="AZ35" s="1063" t="s">
        <v>1573</v>
      </c>
      <c r="BE35" s="1116">
        <v>2033</v>
      </c>
      <c r="BL35" s="1064" t="s">
        <v>1574</v>
      </c>
    </row>
    <row customHeight="1" ht="11.25">
      <c r="A36" s="1896" t="s">
        <v>1575</v>
      </c>
      <c r="D36" s="1106" t="s">
        <v>1576</v>
      </c>
      <c r="E36" s="1107" t="s">
        <v>784</v>
      </c>
      <c r="F36" s="1108" t="str">
        <f>INDEX(E37:E41,MATCH(TEMPLATE_SPHERE,F37:F41,0))</f>
        <v>горячего водоснабжения</v>
      </c>
      <c r="G36" s="1108" t="str">
        <f>INDEX(G37:G41,MATCH(TEMPLATE_SPHERE,F37:F41,0))</f>
        <v>горячее водоснабжение</v>
      </c>
      <c r="O36" s="1070" t="s">
        <v>1321</v>
      </c>
      <c r="AX36" s="1116" t="s">
        <v>1577</v>
      </c>
      <c r="AZ36" s="1116" t="s">
        <v>1201</v>
      </c>
      <c r="BE36" s="1116">
        <v>2034</v>
      </c>
      <c r="BL36" s="1064" t="s">
        <v>1578</v>
      </c>
    </row>
    <row customHeight="1" ht="11.25">
      <c r="A37" s="1070" t="s">
        <v>1579</v>
      </c>
      <c r="E37" s="404" t="s">
        <v>1580</v>
      </c>
      <c r="F37" s="1109" t="s">
        <v>700</v>
      </c>
      <c r="G37" s="404" t="s">
        <v>1581</v>
      </c>
      <c r="O37" s="1070" t="s">
        <v>1340</v>
      </c>
      <c r="AX37" s="1116" t="s">
        <v>1582</v>
      </c>
      <c r="AZ37" s="1116" t="s">
        <v>1229</v>
      </c>
      <c r="BE37" s="1116">
        <v>2035</v>
      </c>
    </row>
    <row customHeight="1" ht="11.25">
      <c r="A38" s="1070" t="s">
        <v>1583</v>
      </c>
      <c r="E38" s="404" t="s">
        <v>1584</v>
      </c>
      <c r="F38" s="1110" t="s">
        <v>746</v>
      </c>
      <c r="G38" s="404" t="s">
        <v>1585</v>
      </c>
      <c r="O38" s="1070" t="s">
        <v>1356</v>
      </c>
      <c r="AX38" s="1116" t="s">
        <v>1586</v>
      </c>
      <c r="AZ38" s="1116" t="s">
        <v>1264</v>
      </c>
      <c r="BE38" s="1116">
        <v>2036</v>
      </c>
      <c r="BH38" s="1063" t="s">
        <v>1587</v>
      </c>
      <c r="BJ38" s="1063" t="s">
        <v>1588</v>
      </c>
      <c r="BL38" s="1063" t="s">
        <v>1589</v>
      </c>
      <c r="BN38" s="1063" t="s">
        <v>1590</v>
      </c>
    </row>
    <row customHeight="1" ht="11.25">
      <c r="A39" s="1070" t="s">
        <v>1591</v>
      </c>
      <c r="E39" s="404" t="s">
        <v>1592</v>
      </c>
      <c r="F39" s="1110" t="s">
        <v>798</v>
      </c>
      <c r="G39" s="404" t="s">
        <v>1593</v>
      </c>
      <c r="O39" s="1070" t="s">
        <v>1372</v>
      </c>
      <c r="AX39" s="1116" t="s">
        <v>1594</v>
      </c>
      <c r="AZ39" s="1116" t="s">
        <v>1297</v>
      </c>
      <c r="BE39" s="1116">
        <v>2037</v>
      </c>
      <c r="BH39" s="1064" t="s">
        <v>1595</v>
      </c>
      <c r="BJ39" s="1217" t="s">
        <v>1595</v>
      </c>
      <c r="BL39" s="1217" t="s">
        <v>1595</v>
      </c>
      <c r="BN39" s="1064" t="s">
        <v>1596</v>
      </c>
    </row>
    <row customHeight="1" ht="11.25">
      <c r="A40" s="1070" t="s">
        <v>14</v>
      </c>
      <c r="E40" s="404" t="s">
        <v>1597</v>
      </c>
      <c r="F40" s="1110" t="s">
        <v>784</v>
      </c>
      <c r="G40" s="404" t="s">
        <v>1598</v>
      </c>
      <c r="O40" s="1070" t="s">
        <v>1388</v>
      </c>
      <c r="AX40" s="1116" t="s">
        <v>1599</v>
      </c>
      <c r="BE40" s="1116">
        <v>2038</v>
      </c>
      <c r="BH40" s="1064" t="s">
        <v>1600</v>
      </c>
      <c r="BJ40" s="1217" t="s">
        <v>919</v>
      </c>
      <c r="BL40" s="1217" t="s">
        <v>919</v>
      </c>
      <c r="BN40" s="1064" t="s">
        <v>953</v>
      </c>
    </row>
    <row customHeight="1" ht="11.25">
      <c r="A41" s="1070" t="s">
        <v>1601</v>
      </c>
      <c r="E41" s="404" t="s">
        <v>1602</v>
      </c>
      <c r="F41" s="1110" t="s">
        <v>1603</v>
      </c>
      <c r="G41" s="404" t="s">
        <v>1602</v>
      </c>
      <c r="O41" s="1070" t="s">
        <v>1404</v>
      </c>
      <c r="AX41" s="1116" t="s">
        <v>1604</v>
      </c>
      <c r="AZ41" s="1063" t="s">
        <v>1605</v>
      </c>
      <c r="BE41" s="1116">
        <v>2039</v>
      </c>
      <c r="BH41" s="1064" t="s">
        <v>1606</v>
      </c>
      <c r="BJ41" s="1217" t="s">
        <v>915</v>
      </c>
      <c r="BL41" s="1217" t="s">
        <v>915</v>
      </c>
      <c r="BN41" s="1064" t="s">
        <v>940</v>
      </c>
    </row>
    <row customHeight="1" ht="11.25">
      <c r="A42" s="1070" t="s">
        <v>1607</v>
      </c>
      <c r="AX42" s="1116" t="s">
        <v>1608</v>
      </c>
      <c r="AZ42" s="1116" t="s">
        <v>1200</v>
      </c>
      <c r="BE42" s="1116">
        <v>2040</v>
      </c>
      <c r="BH42" s="1064" t="s">
        <v>937</v>
      </c>
      <c r="BJ42" s="1217" t="s">
        <v>917</v>
      </c>
      <c r="BL42" s="1217" t="s">
        <v>917</v>
      </c>
      <c r="BN42" s="1064" t="s">
        <v>1609</v>
      </c>
    </row>
    <row customHeight="1" ht="11.25">
      <c r="A43" s="1070" t="s">
        <v>1610</v>
      </c>
      <c r="AX43" s="1116" t="s">
        <v>1611</v>
      </c>
      <c r="AZ43" s="1116" t="s">
        <v>1227</v>
      </c>
      <c r="BE43" s="1116">
        <v>2041</v>
      </c>
      <c r="BH43" s="1064" t="s">
        <v>1612</v>
      </c>
      <c r="BJ43" s="1217" t="s">
        <v>1606</v>
      </c>
      <c r="BL43" s="1217" t="s">
        <v>1606</v>
      </c>
      <c r="BN43" s="1064" t="s">
        <v>1613</v>
      </c>
    </row>
    <row customHeight="1" ht="11.25">
      <c r="A44" s="1070" t="s">
        <v>1614</v>
      </c>
      <c r="I44" s="794" t="s">
        <v>1615</v>
      </c>
      <c r="J44" s="1085" t="s">
        <v>1616</v>
      </c>
      <c r="K44" s="1085" t="s">
        <v>1617</v>
      </c>
      <c r="AX44" s="1116" t="s">
        <v>1618</v>
      </c>
      <c r="AZ44" s="1116" t="s">
        <v>1263</v>
      </c>
      <c r="BE44" s="1116">
        <v>2042</v>
      </c>
      <c r="BH44" s="1064" t="s">
        <v>1619</v>
      </c>
      <c r="BJ44" s="1217" t="s">
        <v>937</v>
      </c>
      <c r="BL44" s="1217" t="s">
        <v>937</v>
      </c>
      <c r="BN44" s="1064" t="s">
        <v>1620</v>
      </c>
    </row>
    <row customHeight="1" ht="11.25">
      <c r="A45" s="1070" t="s">
        <v>1621</v>
      </c>
      <c r="D45" s="1106" t="s">
        <v>1622</v>
      </c>
      <c r="E45" s="1107" t="s">
        <v>1623</v>
      </c>
      <c r="F45" s="792" t="s">
        <v>1624</v>
      </c>
      <c r="G45" s="791" t="s">
        <v>1625</v>
      </c>
      <c r="H45" s="794" t="s">
        <v>1626</v>
      </c>
      <c r="I45" s="1766">
        <f>INDEX(PeriodIsEmptyList,MATCH(TEMPLATE_GROUP,CodeTemplateList,0),1)</f>
        <v>0</v>
      </c>
      <c r="J45" s="176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6" t="s">
        <v>1627</v>
      </c>
      <c r="AZ45" s="1116" t="s">
        <v>1296</v>
      </c>
      <c r="BE45" s="1116">
        <v>2043</v>
      </c>
      <c r="BH45" s="1064" t="s">
        <v>1628</v>
      </c>
      <c r="BJ45" s="1217" t="s">
        <v>931</v>
      </c>
      <c r="BL45" s="1217" t="s">
        <v>931</v>
      </c>
      <c r="BN45" s="1064" t="s">
        <v>1629</v>
      </c>
    </row>
    <row customHeight="1" ht="11.25">
      <c r="A46" s="1070" t="s">
        <v>1630</v>
      </c>
      <c r="E46" s="404" t="s">
        <v>23</v>
      </c>
      <c r="F46" s="1109" t="s">
        <v>1631</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(горячего водоснабжения)</v>
      </c>
      <c r="K46" s="1771"/>
      <c r="AX46" s="1116" t="s">
        <v>1632</v>
      </c>
      <c r="AZ46" s="1116" t="s">
        <v>1321</v>
      </c>
      <c r="BE46" s="1116">
        <v>2044</v>
      </c>
      <c r="BH46" s="1064" t="s">
        <v>940</v>
      </c>
      <c r="BJ46" s="1217" t="s">
        <v>921</v>
      </c>
      <c r="BL46" s="1217" t="s">
        <v>921</v>
      </c>
      <c r="BN46" s="1064" t="s">
        <v>1633</v>
      </c>
    </row>
    <row customHeight="1" ht="11.25">
      <c r="A47" s="1070" t="s">
        <v>1634</v>
      </c>
      <c r="E47" s="404" t="s">
        <v>29</v>
      </c>
      <c r="F47" s="1110" t="s">
        <v>1623</v>
      </c>
      <c r="G47" s="1112" t="str">
        <f>IF(f_year="","",IF(LEN(f_quart)=0,"",IF(f_quart="I квартал","01.01."&amp;f_year,IF(f_quart="II квартал","01.04."&amp;f_year,(IF(f_quart="III квартал","01.07."&amp;f_year,"01.10."&amp;f_year))))))</f>
        <v>01.01.2024</v>
      </c>
      <c r="H47" s="1112" t="str">
        <f>IF(f_year="","",IF(LEN(f_quart)=0,"",IF(f_quart="I квартал","31.03."&amp;f_year,IF(f_quart="II квартал","30.06."&amp;f_year,(IF(f_quart="III квартал","30.09."&amp;f_year,"31.12."&amp;f_year))))))</f>
        <v>31.03.2024</v>
      </c>
      <c r="I47" s="1768">
        <f>IF(OR(f_year="",f_quart=""),TRUE,FALSE)</f>
        <v>0</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1"/>
      <c r="AX47" s="1116" t="s">
        <v>1635</v>
      </c>
      <c r="AZ47" s="1116" t="s">
        <v>1340</v>
      </c>
      <c r="BE47" s="1116">
        <v>2045</v>
      </c>
      <c r="BH47" s="1064" t="s">
        <v>1609</v>
      </c>
      <c r="BJ47" s="1217" t="s">
        <v>923</v>
      </c>
      <c r="BL47" s="1217" t="s">
        <v>923</v>
      </c>
      <c r="BN47" s="1064" t="s">
        <v>1636</v>
      </c>
    </row>
    <row customHeight="1" ht="11.25">
      <c r="A48" s="1070" t="s">
        <v>1637</v>
      </c>
      <c r="E48" s="404" t="s">
        <v>1638</v>
      </c>
      <c r="F48" s="1110" t="s">
        <v>1639</v>
      </c>
      <c r="G48" s="1112" t="str">
        <f>IF(f_year="","","01.01."&amp;f_year)</f>
        <v>01.01.2024</v>
      </c>
      <c r="H48" s="1112" t="str">
        <f>IF(f_year="","","31.12."&amp;f_year)</f>
        <v>31.12.2024</v>
      </c>
      <c r="I48" s="1767">
        <f>IF(f_year="",TRUE,FALSE)</f>
        <v>0</v>
      </c>
      <c r="J48" s="1770" t="s">
        <v>1640</v>
      </c>
      <c r="K48" s="1771"/>
      <c r="AX48" s="1116" t="s">
        <v>1641</v>
      </c>
      <c r="AZ48" s="1116" t="s">
        <v>1356</v>
      </c>
      <c r="BE48" s="1116">
        <v>2046</v>
      </c>
      <c r="BH48" s="1064" t="s">
        <v>1613</v>
      </c>
      <c r="BJ48" s="1217" t="s">
        <v>925</v>
      </c>
      <c r="BL48" s="1217" t="s">
        <v>925</v>
      </c>
      <c r="BN48" s="1064" t="s">
        <v>1642</v>
      </c>
    </row>
    <row customHeight="1" ht="11.25">
      <c r="A49" s="1070" t="s">
        <v>1643</v>
      </c>
      <c r="E49" s="404" t="s">
        <v>1644</v>
      </c>
      <c r="F49" s="1110" t="s">
        <v>1645</v>
      </c>
      <c r="G49" s="1112" t="str">
        <f>IF(f_year="","","01.01."&amp;f_year)</f>
        <v>01.01.2024</v>
      </c>
      <c r="H49" s="1112" t="str">
        <f>IF(f_year="","","31.12."&amp;f_year)</f>
        <v>31.12.2024</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1"/>
      <c r="AX49" s="1116" t="s">
        <v>1646</v>
      </c>
      <c r="AZ49" s="1116" t="s">
        <v>1372</v>
      </c>
      <c r="BE49" s="1116">
        <v>2047</v>
      </c>
      <c r="BH49" s="1064" t="s">
        <v>941</v>
      </c>
      <c r="BJ49" s="1217" t="s">
        <v>927</v>
      </c>
      <c r="BL49" s="1217" t="s">
        <v>927</v>
      </c>
    </row>
    <row customHeight="1" ht="11.25">
      <c r="A50" s="1070" t="s">
        <v>1647</v>
      </c>
      <c r="E50" s="404" t="s">
        <v>1648</v>
      </c>
      <c r="F50" s="1110" t="s">
        <v>911</v>
      </c>
      <c r="G50" s="1112" t="str">
        <f>IF(f_year="","","01.01."&amp;f_year)</f>
        <v>01.01.2024</v>
      </c>
      <c r="H50" s="1112" t="str">
        <f>IF(f_year="","","31.12."&amp;f_year)</f>
        <v>31.12.2024</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1"/>
      <c r="AX50" s="1116" t="s">
        <v>1649</v>
      </c>
      <c r="AZ50" s="1116" t="s">
        <v>1388</v>
      </c>
      <c r="BE50" s="1116">
        <v>2048</v>
      </c>
      <c r="BH50" s="1064" t="s">
        <v>1620</v>
      </c>
      <c r="BJ50" s="1217" t="s">
        <v>929</v>
      </c>
      <c r="BL50" s="1217" t="s">
        <v>929</v>
      </c>
    </row>
    <row customHeight="1" ht="11.25">
      <c r="A51" s="1070" t="s">
        <v>1650</v>
      </c>
      <c r="E51" s="404" t="s">
        <v>1651</v>
      </c>
      <c r="F51" s="1110" t="s">
        <v>1652</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1653</v>
      </c>
      <c r="AZ51" s="1116" t="s">
        <v>1404</v>
      </c>
      <c r="BE51" s="1116">
        <v>2049</v>
      </c>
      <c r="BH51" s="1064" t="s">
        <v>1629</v>
      </c>
      <c r="BJ51" s="1217" t="s">
        <v>1654</v>
      </c>
      <c r="BL51" s="1217" t="s">
        <v>1654</v>
      </c>
    </row>
    <row customHeight="1" ht="11.25">
      <c r="A52" s="1070" t="s">
        <v>1655</v>
      </c>
      <c r="E52" s="404" t="s">
        <v>1656</v>
      </c>
      <c r="F52" s="1110" t="s">
        <v>1657</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1"/>
      <c r="AX52" s="1116" t="s">
        <v>1658</v>
      </c>
      <c r="AZ52" s="1116" t="s">
        <v>1201</v>
      </c>
      <c r="BE52" s="1116">
        <v>2050</v>
      </c>
      <c r="BH52" s="1064" t="s">
        <v>1633</v>
      </c>
      <c r="BJ52" s="1217" t="s">
        <v>940</v>
      </c>
      <c r="BL52" s="1217" t="s">
        <v>940</v>
      </c>
    </row>
    <row customHeight="1" ht="11.25">
      <c r="A53" s="1070" t="s">
        <v>1659</v>
      </c>
      <c r="E53" s="404" t="s">
        <v>1660</v>
      </c>
      <c r="F53" s="1110" t="s">
        <v>1660</v>
      </c>
      <c r="G53" s="1112" t="str">
        <f>IF(f_year="","","01.01."&amp;f_year)</f>
        <v>01.01.2024</v>
      </c>
      <c r="H53" s="1112" t="str">
        <f>IF(f_year="","","31.12."&amp;f_year)</f>
        <v>31.12.2024</v>
      </c>
      <c r="I53" s="1767">
        <f>IF(AND(f_year="",TITLE_DATE_FIL=""),TRUE,FALSE)</f>
        <v>0</v>
      </c>
      <c r="J53" s="1770" t="s">
        <v>1661</v>
      </c>
      <c r="K53" s="1771"/>
      <c r="AX53" s="1116" t="s">
        <v>1662</v>
      </c>
      <c r="BE53" s="1116">
        <v>2051</v>
      </c>
      <c r="BH53" s="1064" t="s">
        <v>1636</v>
      </c>
      <c r="BJ53" s="1217" t="s">
        <v>1609</v>
      </c>
      <c r="BL53" s="1217" t="s">
        <v>1609</v>
      </c>
    </row>
    <row customHeight="1" ht="11.25">
      <c r="A54" s="1070" t="s">
        <v>1663</v>
      </c>
      <c r="AX54" s="1116" t="s">
        <v>1664</v>
      </c>
      <c r="AZ54" s="1063" t="s">
        <v>1665</v>
      </c>
      <c r="BE54" s="1116">
        <v>2052</v>
      </c>
      <c r="BH54" s="1064" t="s">
        <v>1642</v>
      </c>
      <c r="BJ54" s="1217" t="s">
        <v>1613</v>
      </c>
      <c r="BL54" s="1217" t="s">
        <v>1613</v>
      </c>
    </row>
    <row customHeight="1" ht="11.25">
      <c r="A55" s="1070" t="s">
        <v>1666</v>
      </c>
      <c r="AX55" s="1116" t="s">
        <v>1667</v>
      </c>
      <c r="AZ55" s="1116" t="s">
        <v>1203</v>
      </c>
      <c r="BE55" s="1116">
        <v>2053</v>
      </c>
      <c r="BH55" s="1066" t="s">
        <v>18</v>
      </c>
      <c r="BJ55" s="1217" t="s">
        <v>941</v>
      </c>
      <c r="BL55" s="1217" t="s">
        <v>941</v>
      </c>
    </row>
    <row customHeight="1" ht="11.25">
      <c r="A56" s="1070" t="s">
        <v>1668</v>
      </c>
      <c r="D56" s="1114" t="s">
        <v>1669</v>
      </c>
      <c r="E56" s="1090">
        <v>55</v>
      </c>
      <c r="F56" s="1070" t="s">
        <v>1670</v>
      </c>
      <c r="AX56" s="1116" t="s">
        <v>1671</v>
      </c>
      <c r="AZ56" s="1116" t="s">
        <v>1231</v>
      </c>
      <c r="BE56" s="1116">
        <v>2054</v>
      </c>
      <c r="BH56" s="1066" t="s">
        <v>18</v>
      </c>
      <c r="BJ56" s="1217" t="s">
        <v>1620</v>
      </c>
      <c r="BL56" s="1217" t="s">
        <v>1620</v>
      </c>
    </row>
    <row customHeight="1" ht="11.25">
      <c r="A57" s="1070" t="s">
        <v>1672</v>
      </c>
      <c r="D57" s="1114" t="s">
        <v>1673</v>
      </c>
      <c r="E57" s="1090">
        <v>66</v>
      </c>
      <c r="F57" s="1070" t="s">
        <v>1670</v>
      </c>
      <c r="AX57" s="1116" t="s">
        <v>1674</v>
      </c>
      <c r="AZ57" s="1116" t="s">
        <v>1266</v>
      </c>
      <c r="BE57" s="1116">
        <v>2055</v>
      </c>
      <c r="BJ57" s="1217" t="s">
        <v>1629</v>
      </c>
      <c r="BL57" s="1217" t="s">
        <v>1629</v>
      </c>
    </row>
    <row customHeight="1" ht="11.25">
      <c r="A58" s="1070" t="s">
        <v>1675</v>
      </c>
      <c r="D58" s="1114" t="s">
        <v>1676</v>
      </c>
      <c r="E58" s="1090">
        <v>44</v>
      </c>
      <c r="F58" s="1070" t="s">
        <v>1670</v>
      </c>
      <c r="AX58" s="1116" t="s">
        <v>1677</v>
      </c>
      <c r="BE58" s="1116">
        <v>2056</v>
      </c>
      <c r="BJ58" s="1217" t="s">
        <v>1633</v>
      </c>
      <c r="BL58" s="1217" t="s">
        <v>1633</v>
      </c>
    </row>
    <row customHeight="1" ht="11.25">
      <c r="A59" s="1070" t="s">
        <v>1678</v>
      </c>
      <c r="D59" s="1114" t="s">
        <v>129</v>
      </c>
      <c r="E59" s="1090" t="s">
        <v>1500</v>
      </c>
      <c r="F59" s="1070" t="s">
        <v>1679</v>
      </c>
      <c r="AX59" s="1116" t="s">
        <v>1680</v>
      </c>
      <c r="AZ59" s="1063" t="s">
        <v>1681</v>
      </c>
      <c r="BE59" s="1116">
        <v>2057</v>
      </c>
      <c r="BJ59" s="1217" t="s">
        <v>1636</v>
      </c>
      <c r="BL59" s="1217" t="s">
        <v>1636</v>
      </c>
    </row>
    <row customHeight="1" ht="11.25">
      <c r="A60" s="1070" t="s">
        <v>1682</v>
      </c>
      <c r="D60" s="1114" t="s">
        <v>1683</v>
      </c>
      <c r="E60" s="1090" t="s">
        <v>1500</v>
      </c>
      <c r="F60" s="1070" t="s">
        <v>1679</v>
      </c>
      <c r="AX60" s="1116" t="s">
        <v>1684</v>
      </c>
      <c r="AZ60" s="1116" t="s">
        <v>1204</v>
      </c>
      <c r="BE60" s="1116">
        <v>2058</v>
      </c>
      <c r="BJ60" s="1217" t="s">
        <v>1642</v>
      </c>
      <c r="BL60" s="1217" t="s">
        <v>1642</v>
      </c>
    </row>
    <row customHeight="1" ht="11.25">
      <c r="A61" s="1070" t="s">
        <v>1685</v>
      </c>
      <c r="D61" s="1114" t="s">
        <v>1686</v>
      </c>
      <c r="E61" s="1090">
        <v>26</v>
      </c>
      <c r="F61" s="1070" t="s">
        <v>1679</v>
      </c>
      <c r="AX61" s="1116" t="s">
        <v>1687</v>
      </c>
      <c r="AZ61" s="1116" t="s">
        <v>1232</v>
      </c>
      <c r="BE61" s="1116">
        <v>2059</v>
      </c>
      <c r="BL61" s="1217" t="s">
        <v>933</v>
      </c>
    </row>
    <row customHeight="1" ht="11.25">
      <c r="A62" s="1070" t="s">
        <v>1688</v>
      </c>
      <c r="D62" s="1114" t="s">
        <v>128</v>
      </c>
      <c r="E62" s="1090">
        <v>30</v>
      </c>
      <c r="F62" s="1070" t="s">
        <v>1679</v>
      </c>
      <c r="AZ62" s="1116" t="s">
        <v>1267</v>
      </c>
      <c r="BE62" s="1116">
        <v>2060</v>
      </c>
      <c r="BL62" s="1217" t="s">
        <v>935</v>
      </c>
    </row>
    <row customHeight="1" ht="11.25">
      <c r="A63" s="1070" t="s">
        <v>1689</v>
      </c>
      <c r="D63" s="1114" t="s">
        <v>1690</v>
      </c>
      <c r="E63" s="1090">
        <v>30</v>
      </c>
      <c r="F63" s="1070" t="s">
        <v>1679</v>
      </c>
      <c r="AZ63" s="1116" t="s">
        <v>1299</v>
      </c>
      <c r="BE63" s="1116">
        <v>2061</v>
      </c>
    </row>
    <row customHeight="1" ht="11.25">
      <c r="A64" s="1070" t="s">
        <v>1691</v>
      </c>
      <c r="D64" s="1114" t="s">
        <v>1692</v>
      </c>
      <c r="E64" s="1090">
        <v>30</v>
      </c>
      <c r="F64" s="1070" t="s">
        <v>1679</v>
      </c>
      <c r="AZ64" s="1116" t="s">
        <v>1322</v>
      </c>
      <c r="BE64" s="1116">
        <v>2062</v>
      </c>
    </row>
    <row customHeight="1" ht="11.25">
      <c r="A65" s="1070" t="s">
        <v>1693</v>
      </c>
      <c r="D65" s="1070"/>
      <c r="BE65" s="1116">
        <v>2063</v>
      </c>
    </row>
    <row customHeight="1" ht="11.25">
      <c r="A66" s="1070" t="s">
        <v>1694</v>
      </c>
      <c r="AZ66" s="1063" t="s">
        <v>1695</v>
      </c>
      <c r="BE66" s="1116">
        <v>2064</v>
      </c>
    </row>
    <row customHeight="1" ht="11.25">
      <c r="A67" s="1070" t="s">
        <v>1696</v>
      </c>
      <c r="AZ67" s="1116" t="s">
        <v>1205</v>
      </c>
      <c r="BE67" s="1116">
        <v>2065</v>
      </c>
    </row>
    <row customHeight="1" ht="11.25">
      <c r="A68" s="1070" t="s">
        <v>1697</v>
      </c>
      <c r="AZ68" s="1116" t="s">
        <v>1233</v>
      </c>
      <c r="BE68" s="1116">
        <v>2066</v>
      </c>
      <c r="BH68" s="1063" t="s">
        <v>1698</v>
      </c>
      <c r="BJ68" s="1063" t="s">
        <v>1699</v>
      </c>
      <c r="BL68" s="1063" t="s">
        <v>1700</v>
      </c>
      <c r="BN68" s="1063" t="s">
        <v>1701</v>
      </c>
    </row>
    <row customHeight="1" ht="11.25">
      <c r="A69" s="1070" t="s">
        <v>1702</v>
      </c>
      <c r="AZ69" s="1116" t="s">
        <v>1268</v>
      </c>
      <c r="BE69" s="1116">
        <v>2067</v>
      </c>
      <c r="BH69" s="1064" t="s">
        <v>1703</v>
      </c>
      <c r="BI69" s="1113" t="s">
        <v>106</v>
      </c>
      <c r="BJ69" s="1064" t="s">
        <v>1704</v>
      </c>
      <c r="BK69" s="1113" t="s">
        <v>106</v>
      </c>
      <c r="BL69" s="1064" t="s">
        <v>1705</v>
      </c>
      <c r="BN69" s="1064" t="s">
        <v>1706</v>
      </c>
    </row>
    <row customHeight="1" ht="11.25">
      <c r="A70" s="1070" t="s">
        <v>1707</v>
      </c>
      <c r="AZ70" s="1116" t="s">
        <v>1300</v>
      </c>
      <c r="BE70" s="1116">
        <v>2068</v>
      </c>
      <c r="BH70" s="1064" t="s">
        <v>1708</v>
      </c>
      <c r="BJ70" s="1064" t="s">
        <v>1709</v>
      </c>
      <c r="BL70" s="1064" t="s">
        <v>1710</v>
      </c>
      <c r="BN70" s="1064" t="s">
        <v>1711</v>
      </c>
    </row>
    <row customHeight="1" ht="11.25">
      <c r="A71" s="1070" t="s">
        <v>1712</v>
      </c>
      <c r="AZ71" s="1116" t="s">
        <v>1302</v>
      </c>
      <c r="BE71" s="1116">
        <v>2069</v>
      </c>
      <c r="BH71" s="1064" t="s">
        <v>1713</v>
      </c>
      <c r="BI71" s="1113" t="s">
        <v>86</v>
      </c>
      <c r="BJ71" s="1064" t="s">
        <v>1714</v>
      </c>
      <c r="BK71" s="1113" t="s">
        <v>86</v>
      </c>
      <c r="BL71" s="1064" t="s">
        <v>1715</v>
      </c>
      <c r="BN71" s="1064" t="s">
        <v>1716</v>
      </c>
    </row>
    <row customHeight="1" ht="11.25">
      <c r="A72" s="1070" t="s">
        <v>1717</v>
      </c>
      <c r="AZ72" s="1116" t="s">
        <v>53</v>
      </c>
      <c r="BE72" s="1116">
        <v>2070</v>
      </c>
      <c r="BH72" s="1064" t="s">
        <v>1718</v>
      </c>
      <c r="BJ72" s="1064" t="s">
        <v>1718</v>
      </c>
      <c r="BL72" s="1064" t="s">
        <v>1718</v>
      </c>
      <c r="BN72" s="1064" t="s">
        <v>1719</v>
      </c>
    </row>
    <row customHeight="1" ht="11.25">
      <c r="A73" s="1070" t="s">
        <v>1720</v>
      </c>
      <c r="BH73" s="1064" t="s">
        <v>1721</v>
      </c>
      <c r="BI73" s="1113" t="s">
        <v>108</v>
      </c>
      <c r="BJ73" s="1064" t="s">
        <v>1722</v>
      </c>
      <c r="BK73" s="1113" t="s">
        <v>108</v>
      </c>
      <c r="BL73" s="1064" t="s">
        <v>1723</v>
      </c>
      <c r="BN73" s="1064" t="s">
        <v>1724</v>
      </c>
    </row>
    <row customHeight="1" ht="11.25">
      <c r="A74" s="1070" t="s">
        <v>1725</v>
      </c>
      <c r="BH74" s="1064" t="s">
        <v>1726</v>
      </c>
      <c r="BJ74" s="1064" t="s">
        <v>1727</v>
      </c>
      <c r="BL74" s="1064" t="s">
        <v>1728</v>
      </c>
      <c r="BN74" s="1064" t="s">
        <v>1729</v>
      </c>
    </row>
    <row customHeight="1" ht="11.25">
      <c r="A75" s="1070" t="s">
        <v>1730</v>
      </c>
      <c r="AZ75" s="1063" t="s">
        <v>1731</v>
      </c>
      <c r="BH75" s="1064" t="s">
        <v>1732</v>
      </c>
      <c r="BJ75" s="1064" t="s">
        <v>1732</v>
      </c>
      <c r="BL75" s="1064" t="s">
        <v>1732</v>
      </c>
    </row>
    <row customHeight="1" ht="11.25">
      <c r="A76" s="1070" t="s">
        <v>1733</v>
      </c>
      <c r="AZ76" s="1116" t="s">
        <v>1214</v>
      </c>
      <c r="BH76" s="1064" t="s">
        <v>1734</v>
      </c>
      <c r="BJ76" s="1064" t="s">
        <v>1735</v>
      </c>
      <c r="BL76" s="1064" t="s">
        <v>1736</v>
      </c>
    </row>
    <row customHeight="1" ht="11.25">
      <c r="A77" s="1070" t="s">
        <v>1737</v>
      </c>
      <c r="AZ77" s="1116" t="s">
        <v>1243</v>
      </c>
    </row>
    <row customHeight="1" ht="11.25">
      <c r="A78" s="1070" t="s">
        <v>1738</v>
      </c>
      <c r="AZ78" s="1116" t="s">
        <v>1275</v>
      </c>
    </row>
    <row customHeight="1" ht="11.25">
      <c r="A79" s="1070" t="s">
        <v>1739</v>
      </c>
      <c r="AZ79" s="1116" t="s">
        <v>1306</v>
      </c>
      <c r="BH79" s="1063" t="s">
        <v>1740</v>
      </c>
      <c r="BJ79" s="1063" t="s">
        <v>1741</v>
      </c>
      <c r="BL79" s="1063" t="s">
        <v>1742</v>
      </c>
    </row>
    <row customHeight="1" ht="11.25">
      <c r="A80" s="1070" t="s">
        <v>1743</v>
      </c>
      <c r="AZ80" s="1116" t="s">
        <v>1327</v>
      </c>
      <c r="BH80" s="1064" t="s">
        <v>1744</v>
      </c>
      <c r="BJ80" s="1064" t="s">
        <v>1745</v>
      </c>
      <c r="BL80" s="1064" t="s">
        <v>1746</v>
      </c>
    </row>
    <row customHeight="1" ht="11.25">
      <c r="A81" s="1070" t="s">
        <v>1747</v>
      </c>
      <c r="AZ81" s="1116" t="s">
        <v>1344</v>
      </c>
      <c r="BH81" s="1064" t="s">
        <v>1748</v>
      </c>
      <c r="BJ81" s="1064" t="s">
        <v>1749</v>
      </c>
      <c r="BL81" s="1064" t="s">
        <v>1750</v>
      </c>
    </row>
    <row customHeight="1" ht="11.25">
      <c r="A82" s="1070" t="s">
        <v>1751</v>
      </c>
      <c r="AZ82" s="1116" t="s">
        <v>1358</v>
      </c>
      <c r="BH82" s="1064" t="s">
        <v>1752</v>
      </c>
      <c r="BJ82" s="1064" t="s">
        <v>1753</v>
      </c>
      <c r="BL82" s="1064" t="s">
        <v>1754</v>
      </c>
    </row>
    <row customHeight="1" ht="11.25">
      <c r="A83" s="1070" t="s">
        <v>1755</v>
      </c>
      <c r="BH83" s="1064" t="s">
        <v>1756</v>
      </c>
      <c r="BJ83" s="1064" t="s">
        <v>1757</v>
      </c>
      <c r="BL83" s="1064" t="s">
        <v>1758</v>
      </c>
    </row>
    <row customHeight="1" ht="11.25">
      <c r="A84" s="1070" t="s">
        <v>1759</v>
      </c>
      <c r="AZ84" s="1063" t="s">
        <v>1760</v>
      </c>
    </row>
    <row customHeight="1" ht="11.25">
      <c r="A85" s="1896" t="s">
        <v>1761</v>
      </c>
      <c r="AZ85" s="1116" t="s">
        <v>1762</v>
      </c>
    </row>
    <row customHeight="1" ht="11.25">
      <c r="A86" s="1070" t="s">
        <v>1763</v>
      </c>
      <c r="AZ86" s="1116" t="s">
        <v>1764</v>
      </c>
      <c r="BH86" s="1063" t="s">
        <v>1765</v>
      </c>
      <c r="BJ86" s="1063" t="s">
        <v>1766</v>
      </c>
      <c r="BL86" s="1063" t="s">
        <v>1767</v>
      </c>
    </row>
    <row customHeight="1" ht="11.25">
      <c r="A87" s="1070" t="s">
        <v>1768</v>
      </c>
      <c r="AZ87" s="1116" t="s">
        <v>1769</v>
      </c>
      <c r="BH87" s="1064" t="s">
        <v>1770</v>
      </c>
      <c r="BJ87" s="1064" t="s">
        <v>1771</v>
      </c>
      <c r="BL87" s="1064" t="s">
        <v>1772</v>
      </c>
    </row>
    <row customHeight="1" ht="11.25">
      <c r="A88" s="1070" t="s">
        <v>1773</v>
      </c>
      <c r="AZ88" s="0"/>
      <c r="BH88" s="1064" t="s">
        <v>1774</v>
      </c>
      <c r="BJ88" s="1064" t="s">
        <v>1775</v>
      </c>
      <c r="BL88" s="1064" t="s">
        <v>1776</v>
      </c>
    </row>
    <row customHeight="1" ht="11.25">
      <c r="A89" s="1070" t="s">
        <v>1777</v>
      </c>
      <c r="AZ89" s="1063" t="s">
        <v>1778</v>
      </c>
    </row>
    <row customHeight="1" ht="11.25">
      <c r="A90" s="1070" t="s">
        <v>1779</v>
      </c>
      <c r="AZ90" s="1116" t="s">
        <v>911</v>
      </c>
    </row>
    <row customHeight="1" ht="11.25">
      <c r="A91" s="1070" t="s">
        <v>1780</v>
      </c>
      <c r="AZ91" s="1116" t="s">
        <v>947</v>
      </c>
      <c r="BH91" s="1063" t="s">
        <v>1781</v>
      </c>
      <c r="BJ91" s="1063" t="s">
        <v>1782</v>
      </c>
      <c r="BL91" s="1063" t="s">
        <v>1783</v>
      </c>
    </row>
    <row customHeight="1" ht="11.25">
      <c r="AZ92" s="1116" t="s">
        <v>1784</v>
      </c>
      <c r="BH92" s="1064" t="s">
        <v>1785</v>
      </c>
      <c r="BJ92" s="1064" t="s">
        <v>1786</v>
      </c>
      <c r="BL92" s="1064" t="s">
        <v>1787</v>
      </c>
    </row>
    <row customHeight="1" ht="11.25">
      <c r="AZ93" s="1116" t="s">
        <v>1788</v>
      </c>
      <c r="BH93" s="1064" t="s">
        <v>1789</v>
      </c>
      <c r="BJ93" s="1064" t="s">
        <v>1790</v>
      </c>
      <c r="BL93" s="1064" t="s">
        <v>1791</v>
      </c>
    </row>
    <row customHeight="1" ht="11.25">
      <c r="AZ94" s="1116" t="s">
        <v>1792</v>
      </c>
    </row>
    <row r="96" customHeight="1" ht="11.25">
      <c r="AZ96" s="1063" t="s">
        <v>1793</v>
      </c>
      <c r="BH96" s="1063" t="s">
        <v>1794</v>
      </c>
      <c r="BJ96" s="1063" t="s">
        <v>1795</v>
      </c>
      <c r="BL96" s="1063" t="s">
        <v>1796</v>
      </c>
      <c r="BN96" s="1063" t="s">
        <v>1797</v>
      </c>
    </row>
    <row customHeight="1" ht="11.25">
      <c r="AZ97" s="1116" t="s">
        <v>1798</v>
      </c>
      <c r="BH97" s="1064" t="s">
        <v>1799</v>
      </c>
      <c r="BJ97" s="1064" t="s">
        <v>1800</v>
      </c>
      <c r="BL97" s="1064" t="s">
        <v>1801</v>
      </c>
      <c r="BN97" s="1064" t="s">
        <v>1802</v>
      </c>
    </row>
    <row customHeight="1" ht="11.25">
      <c r="AZ98" s="1116" t="s">
        <v>1803</v>
      </c>
      <c r="BH98" s="1064" t="s">
        <v>1804</v>
      </c>
      <c r="BJ98" s="1064" t="s">
        <v>1805</v>
      </c>
      <c r="BL98" s="1064" t="s">
        <v>1806</v>
      </c>
      <c r="BN98" s="1064" t="s">
        <v>1807</v>
      </c>
    </row>
    <row customHeight="1" ht="11.25">
      <c r="AZ99" s="1116" t="s">
        <v>1808</v>
      </c>
      <c r="BH99" s="1064" t="s">
        <v>1809</v>
      </c>
      <c r="BJ99" s="1064" t="s">
        <v>1810</v>
      </c>
      <c r="BL99" s="1064" t="s">
        <v>1811</v>
      </c>
      <c r="BN99" s="1064" t="s">
        <v>1812</v>
      </c>
    </row>
    <row customHeight="1" ht="11.25">
      <c r="BJ100" s="1064" t="s">
        <v>1404</v>
      </c>
      <c r="BL100" s="1064" t="s">
        <v>1404</v>
      </c>
      <c r="BN100" s="1064" t="s">
        <v>1813</v>
      </c>
    </row>
    <row customHeight="1" ht="11.25">
      <c r="AZ101" s="1717" t="s">
        <v>1814</v>
      </c>
      <c r="BN101" s="1064" t="s">
        <v>1815</v>
      </c>
    </row>
    <row customHeight="1" ht="11.25">
      <c r="AZ102" s="1116" t="s">
        <v>1816</v>
      </c>
      <c r="BN102" s="1064" t="s">
        <v>1817</v>
      </c>
    </row>
    <row customHeight="1" ht="11.25">
      <c r="AZ103" s="1116" t="s">
        <v>1818</v>
      </c>
      <c r="BN103" s="1064" t="s">
        <v>1819</v>
      </c>
    </row>
    <row customHeight="1" ht="11.25">
      <c r="AZ104" s="1116" t="s">
        <v>549</v>
      </c>
      <c r="BN104" s="1064" t="s">
        <v>1820</v>
      </c>
    </row>
    <row r="107" customHeight="1" ht="11.25">
      <c r="BH107" s="1063" t="s">
        <v>1821</v>
      </c>
      <c r="BJ107" s="1063" t="s">
        <v>1822</v>
      </c>
      <c r="BL107" s="1063" t="s">
        <v>1823</v>
      </c>
      <c r="BN107" s="1063" t="s">
        <v>1824</v>
      </c>
    </row>
    <row customHeight="1" ht="11.25">
      <c r="BH108" s="1064" t="s">
        <v>1825</v>
      </c>
      <c r="BJ108" s="1064" t="s">
        <v>1826</v>
      </c>
      <c r="BL108" s="1064" t="s">
        <v>1488</v>
      </c>
      <c r="BN108" s="1064" t="s">
        <v>1827</v>
      </c>
    </row>
    <row customHeight="1" ht="11.25">
      <c r="BH109" s="1064" t="s">
        <v>1828</v>
      </c>
    </row>
    <row customHeight="1" ht="11.25">
      <c r="BH110" s="1064" t="s">
        <v>1828</v>
      </c>
    </row>
    <row r="114" customHeight="1" ht="11.25">
      <c r="BH114" s="1063" t="s">
        <v>1829</v>
      </c>
    </row>
    <row customHeight="1" ht="11.25">
      <c r="BH115" s="1064" t="s">
        <v>1201</v>
      </c>
    </row>
    <row customHeight="1" ht="11.25">
      <c r="BH116" s="1064" t="s">
        <v>1229</v>
      </c>
    </row>
    <row customHeight="1" ht="11.25">
      <c r="BH117" s="1064" t="s">
        <v>1264</v>
      </c>
    </row>
    <row customHeight="1" ht="11.25">
      <c r="BH118" s="1064" t="s">
        <v>1297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79968-C049-4034-7CA3-D0B84B5AE50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1830</v>
      </c>
      <c r="B1" s="841"/>
      <c r="C1" s="978" t="s">
        <v>1831</v>
      </c>
      <c r="D1" s="976" t="s">
        <v>700</v>
      </c>
      <c r="E1" s="976" t="s">
        <v>746</v>
      </c>
      <c r="F1" s="976" t="s">
        <v>798</v>
      </c>
      <c r="G1" s="976" t="s">
        <v>784</v>
      </c>
      <c r="H1" s="976" t="s">
        <v>1603</v>
      </c>
    </row>
    <row customHeight="1" ht="9">
      <c r="A2" s="979" t="s">
        <v>1832</v>
      </c>
      <c r="B2" s="979"/>
      <c r="C2" s="980" t="str">
        <f>INDEX(TEMPLATE_NUMBER_FORM_LIST,MATCH(TEMPLATE_SPHERE,TEMPLATE_SPHERE_LIST,0))</f>
        <v>10</v>
      </c>
      <c r="D2" s="979" t="s">
        <v>1454</v>
      </c>
      <c r="E2" s="979" t="s">
        <v>147</v>
      </c>
      <c r="F2" s="981" t="s">
        <v>147</v>
      </c>
      <c r="G2" s="979" t="s">
        <v>147</v>
      </c>
      <c r="H2" s="982"/>
    </row>
    <row customHeight="1" ht="63">
      <c r="A3" s="841"/>
      <c r="B3" s="841" t="s">
        <v>106</v>
      </c>
      <c r="C3" s="98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0" t="s">
        <v>1833</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1"/>
      <c r="G3" s="982"/>
      <c r="H3" s="841"/>
    </row>
    <row customHeight="1" ht="243">
      <c r="A4" s="841" t="s">
        <v>1834</v>
      </c>
      <c r="B4" s="841" t="s">
        <v>107</v>
      </c>
      <c r="C4" s="980" t="str">
        <f>IF(TEMPLATE_SPHERE="HEAT",D4,IF(TEMPLATE_SPHERE="TKO",H4,E4))</f>
        <v>Форма 1. Информация об организации, осуществляющей горячее водоснабжение (общая информация)</v>
      </c>
      <c r="D4" s="979" t="s">
        <v>1835</v>
      </c>
      <c r="E4" s="9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79"/>
      <c r="G4" s="979"/>
      <c r="H4" s="841" t="s">
        <v>1836</v>
      </c>
    </row>
    <row customHeight="1" ht="117">
      <c r="A5" s="841" t="s">
        <v>1837</v>
      </c>
      <c r="B5" s="841" t="s">
        <v>86</v>
      </c>
      <c r="C5" s="98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1" t="s">
        <v>1838</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2"/>
      <c r="G5" s="982"/>
      <c r="H5" s="841" t="s">
        <v>1839</v>
      </c>
    </row>
    <row customHeight="1" ht="45">
      <c r="A6" s="841" t="s">
        <v>1840</v>
      </c>
      <c r="B6" s="841" t="s">
        <v>87</v>
      </c>
      <c r="C6" s="98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1" t="s">
        <v>1841</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1"/>
      <c r="G6" s="841"/>
      <c r="H6" s="982"/>
    </row>
    <row customHeight="1" ht="45">
      <c r="A7" s="841" t="s">
        <v>1842</v>
      </c>
      <c r="B7" s="841" t="s">
        <v>108</v>
      </c>
      <c r="C7" s="98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1" t="s">
        <v>1843</v>
      </c>
      <c r="E7" s="841" t="s">
        <v>1844</v>
      </c>
      <c r="F7" s="982"/>
      <c r="G7" s="982"/>
      <c r="H7" s="982"/>
    </row>
    <row customHeight="1" ht="108">
      <c r="A8" s="841" t="s">
        <v>1845</v>
      </c>
      <c r="B8" s="841" t="s">
        <v>88</v>
      </c>
      <c r="C8" s="98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1" t="s">
        <v>1846</v>
      </c>
      <c r="E8" s="841" t="s">
        <v>1847</v>
      </c>
      <c r="F8" s="982"/>
      <c r="G8" s="982"/>
      <c r="H8" s="982"/>
    </row>
    <row customHeight="1" ht="99">
      <c r="A9" s="841" t="s">
        <v>1848</v>
      </c>
      <c r="B9" s="841"/>
      <c r="C9" s="841" t="s">
        <v>1849</v>
      </c>
      <c r="D9" s="841"/>
      <c r="E9" s="841"/>
      <c r="F9" s="982"/>
      <c r="G9" s="982"/>
      <c r="H9" s="982"/>
    </row>
    <row customHeight="1" ht="126">
      <c r="A10" s="841" t="s">
        <v>1850</v>
      </c>
      <c r="B10" s="841"/>
      <c r="C10" s="841" t="s">
        <v>1851</v>
      </c>
      <c r="D10" s="841"/>
      <c r="E10" s="841"/>
      <c r="F10" s="982"/>
      <c r="G10" s="982"/>
      <c r="H10" s="982"/>
    </row>
    <row customHeight="1" ht="108">
      <c r="A11" s="841" t="s">
        <v>1852</v>
      </c>
      <c r="B11" s="841"/>
      <c r="C11" s="841" t="s">
        <v>1853</v>
      </c>
      <c r="D11" s="841"/>
      <c r="E11" s="841"/>
      <c r="F11" s="982"/>
      <c r="G11" s="982"/>
      <c r="H11" s="982"/>
    </row>
    <row customHeight="1" ht="54">
      <c r="A12" s="841" t="s">
        <v>1854</v>
      </c>
      <c r="B12" s="841"/>
      <c r="C12" s="841" t="s">
        <v>1855</v>
      </c>
      <c r="D12" s="841"/>
      <c r="E12" s="841"/>
      <c r="F12" s="982"/>
      <c r="G12" s="982"/>
      <c r="H12" s="982"/>
    </row>
    <row customHeight="1" ht="45">
      <c r="A13" s="841" t="s">
        <v>1856</v>
      </c>
      <c r="B13" s="841"/>
      <c r="C13" s="841" t="s">
        <v>1857</v>
      </c>
      <c r="D13" s="841"/>
      <c r="E13" s="841"/>
      <c r="F13" s="982"/>
      <c r="G13" s="982"/>
      <c r="H13" s="982"/>
    </row>
    <row customHeight="1" ht="117">
      <c r="A14" s="841" t="s">
        <v>1858</v>
      </c>
      <c r="B14" s="841"/>
      <c r="C14" s="841" t="s">
        <v>1859</v>
      </c>
      <c r="D14" s="841"/>
      <c r="E14" s="841"/>
      <c r="F14" s="982"/>
      <c r="G14" s="982"/>
      <c r="H14" s="982"/>
    </row>
    <row customHeight="1" ht="117">
      <c r="A15" s="841" t="s">
        <v>1860</v>
      </c>
      <c r="B15" s="841"/>
      <c r="C15" s="841" t="s">
        <v>1861</v>
      </c>
      <c r="D15" s="841"/>
      <c r="E15" s="841"/>
      <c r="F15" s="982"/>
      <c r="G15" s="982"/>
      <c r="H15" s="982"/>
    </row>
    <row customHeight="1" ht="63">
      <c r="A16" s="841" t="s">
        <v>1862</v>
      </c>
      <c r="B16" s="841"/>
      <c r="C16" s="841" t="s">
        <v>1863</v>
      </c>
      <c r="D16" s="841"/>
      <c r="E16" s="841"/>
      <c r="F16" s="982"/>
      <c r="G16" s="982"/>
      <c r="H16" s="982"/>
    </row>
    <row customHeight="1" ht="54">
      <c r="A17" s="841" t="s">
        <v>1864</v>
      </c>
      <c r="B17" s="841"/>
      <c r="C17" s="980" t="s">
        <v>1865</v>
      </c>
      <c r="D17" s="841"/>
      <c r="E17" s="841"/>
      <c r="F17" s="982"/>
      <c r="G17" s="982"/>
      <c r="H17" s="982"/>
    </row>
    <row customHeight="1" ht="27">
      <c r="A18" s="841" t="s">
        <v>1866</v>
      </c>
      <c r="B18" s="841"/>
      <c r="C18" s="980" t="s">
        <v>1867</v>
      </c>
      <c r="D18" s="841"/>
      <c r="E18" s="841"/>
      <c r="F18" s="982"/>
      <c r="G18" s="982"/>
      <c r="H18" s="982"/>
    </row>
    <row customHeight="1" ht="54">
      <c r="A19" s="841" t="s">
        <v>1868</v>
      </c>
      <c r="B19" s="841"/>
      <c r="C19" s="980" t="s">
        <v>1869</v>
      </c>
      <c r="D19" s="841"/>
      <c r="E19" s="841"/>
      <c r="F19" s="982"/>
      <c r="G19" s="982"/>
      <c r="H19" s="982"/>
    </row>
    <row customHeight="1" ht="36">
      <c r="A20" s="841" t="s">
        <v>1870</v>
      </c>
      <c r="B20" s="841"/>
      <c r="C20" s="980" t="s">
        <v>1871</v>
      </c>
      <c r="D20" s="841"/>
      <c r="E20" s="841"/>
      <c r="F20" s="982"/>
      <c r="G20" s="982"/>
      <c r="H20" s="982"/>
    </row>
    <row customHeight="1" ht="36">
      <c r="A21" s="841" t="s">
        <v>1872</v>
      </c>
      <c r="B21" s="841"/>
      <c r="C21" s="980" t="s">
        <v>1873</v>
      </c>
      <c r="D21" s="841"/>
      <c r="E21" s="841"/>
      <c r="F21" s="982"/>
      <c r="G21" s="982"/>
      <c r="H21" s="982"/>
    </row>
    <row customHeight="1" ht="27">
      <c r="A22" s="841" t="s">
        <v>1874</v>
      </c>
      <c r="B22" s="841"/>
      <c r="C22" s="980" t="s">
        <v>1875</v>
      </c>
      <c r="D22" s="841"/>
      <c r="E22" s="841"/>
      <c r="F22" s="982"/>
      <c r="G22" s="982"/>
      <c r="H22" s="982"/>
    </row>
    <row customHeight="1" ht="36">
      <c r="A23" s="841" t="s">
        <v>1876</v>
      </c>
      <c r="B23" s="841"/>
      <c r="C23" s="980" t="s">
        <v>1877</v>
      </c>
      <c r="D23" s="841"/>
      <c r="E23" s="841"/>
      <c r="F23" s="982"/>
      <c r="G23" s="982"/>
      <c r="H23" s="982"/>
    </row>
    <row customHeight="1" ht="28.5">
      <c r="A24" s="841" t="s">
        <v>1878</v>
      </c>
      <c r="B24" s="841"/>
      <c r="C24" s="980" t="s">
        <v>1879</v>
      </c>
      <c r="D24" s="841"/>
      <c r="E24" s="841"/>
      <c r="F24" s="982"/>
      <c r="G24" s="982"/>
      <c r="H24" s="982"/>
    </row>
    <row customHeight="1" ht="36">
      <c r="A25" s="841" t="s">
        <v>1880</v>
      </c>
      <c r="B25" s="841"/>
      <c r="C25" s="980" t="s">
        <v>1881</v>
      </c>
      <c r="D25" s="841"/>
      <c r="E25" s="841"/>
      <c r="F25" s="982"/>
      <c r="G25" s="982"/>
      <c r="H25" s="982"/>
    </row>
    <row customHeight="1" ht="27">
      <c r="A26" s="841" t="s">
        <v>1882</v>
      </c>
      <c r="B26" s="841"/>
      <c r="C26" s="980" t="s">
        <v>1883</v>
      </c>
      <c r="D26" s="841"/>
      <c r="E26" s="841"/>
      <c r="F26" s="982"/>
      <c r="G26" s="982"/>
      <c r="H26" s="982"/>
    </row>
    <row customHeight="1" ht="36">
      <c r="A27" s="841" t="s">
        <v>1884</v>
      </c>
      <c r="B27" s="841"/>
      <c r="C27" s="980" t="s">
        <v>1885</v>
      </c>
      <c r="D27" s="841"/>
      <c r="E27" s="841"/>
      <c r="F27" s="982"/>
      <c r="G27" s="982"/>
      <c r="H27" s="982"/>
    </row>
    <row customHeight="1" ht="28.5">
      <c r="A28" s="841" t="s">
        <v>1886</v>
      </c>
      <c r="B28" s="841"/>
      <c r="C28" s="980" t="s">
        <v>1887</v>
      </c>
      <c r="D28" s="841"/>
      <c r="E28" s="841"/>
      <c r="F28" s="982"/>
      <c r="G28" s="982"/>
      <c r="H28" s="982"/>
    </row>
    <row customHeight="1" ht="126">
      <c r="A29" s="841" t="s">
        <v>1888</v>
      </c>
      <c r="B29" s="841" t="s">
        <v>1555</v>
      </c>
      <c r="C29" s="98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1" t="s">
        <v>1889</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2"/>
      <c r="G29" s="982"/>
      <c r="H29" s="841" t="s">
        <v>1890</v>
      </c>
    </row>
    <row customHeight="1" ht="36">
      <c r="A30" s="841" t="s">
        <v>1891</v>
      </c>
      <c r="B30" s="841"/>
      <c r="C30" s="98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1" t="s">
        <v>1892</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2"/>
      <c r="G30" s="982"/>
      <c r="H30" s="982"/>
    </row>
    <row customHeight="1" ht="54">
      <c r="A31" s="841" t="s">
        <v>1893</v>
      </c>
      <c r="B31" s="841"/>
      <c r="C31" s="980" t="str">
        <f>IF(TEMPLATE_SPHERE="HEAT",D31,IF(TEMPLATE_SPHERE="TKO",H31,E31))</f>
        <v>Форма 1. Информация об организации, осуществляющей горячее водоснабжение (общая информация)</v>
      </c>
      <c r="D31" s="841" t="s">
        <v>1894</v>
      </c>
      <c r="E31" s="84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2"/>
      <c r="G31" s="982"/>
      <c r="H31" s="982"/>
    </row>
    <row customHeight="1" ht="198">
      <c r="A32" s="841" t="s">
        <v>1895</v>
      </c>
      <c r="B32" s="841"/>
      <c r="C32" s="980" t="str">
        <f>IF(TEMPLATE_SPHERE="HEAT",D32,IF(TEMPLATE_SPHERE="TKO",H32,E32))</f>
        <v>Форма 7. Информация об инвестиционных программах организации горячего водоснабжения и отчетах об их исполнении</v>
      </c>
      <c r="D32" s="841" t="s">
        <v>1896</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2"/>
      <c r="G32" s="982"/>
      <c r="H32" s="841" t="s">
        <v>1897</v>
      </c>
    </row>
    <row customHeight="1" ht="9">
      <c r="A33" s="841"/>
      <c r="B33" s="841"/>
      <c r="C33" s="980"/>
      <c r="D33" s="841"/>
      <c r="E33" s="841"/>
      <c r="F33" s="982"/>
      <c r="G33" s="982"/>
      <c r="H33" s="982"/>
    </row>
    <row customHeight="1" ht="9">
      <c r="A34" s="841"/>
      <c r="B34" s="841" t="s">
        <v>1491</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A95D05-4B9C-B1B4-FE7D-DB905D0967BE}"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1898</v>
      </c>
      <c r="D1" s="893"/>
      <c r="E1" s="893"/>
      <c r="F1" s="893"/>
      <c r="G1" s="893"/>
      <c r="H1" s="893" t="s">
        <v>1899</v>
      </c>
      <c r="I1" s="893"/>
      <c r="J1" s="893"/>
      <c r="K1" s="893"/>
      <c r="L1" s="893"/>
      <c r="M1" s="893" t="s">
        <v>1900</v>
      </c>
      <c r="N1" s="893" t="s">
        <v>1901</v>
      </c>
      <c r="O1" s="2405" t="s">
        <v>1902</v>
      </c>
      <c r="P1" s="2405"/>
      <c r="Q1" s="2405"/>
      <c r="R1" s="2405"/>
      <c r="S1" s="2405"/>
      <c r="T1" s="2405" t="s">
        <v>1900</v>
      </c>
      <c r="U1" s="2405"/>
      <c r="V1" s="2405"/>
      <c r="W1" s="2405"/>
      <c r="X1" s="2405"/>
      <c r="Y1" s="995"/>
      <c r="Z1" s="2405" t="s">
        <v>1903</v>
      </c>
      <c r="AA1" s="2405"/>
      <c r="AB1" s="2405"/>
      <c r="AC1" s="2405"/>
      <c r="AD1" s="2405"/>
    </row>
    <row customHeight="1" ht="18">
      <c r="A2" s="841"/>
      <c r="B2" s="841"/>
      <c r="C2" s="836" t="s">
        <v>700</v>
      </c>
      <c r="D2" s="836" t="s">
        <v>746</v>
      </c>
      <c r="E2" s="836" t="s">
        <v>798</v>
      </c>
      <c r="F2" s="836" t="s">
        <v>784</v>
      </c>
      <c r="G2" s="836" t="s">
        <v>1603</v>
      </c>
      <c r="H2" s="838"/>
      <c r="I2" s="838"/>
      <c r="J2" s="838"/>
      <c r="K2" s="838"/>
      <c r="L2" s="838"/>
      <c r="M2" s="838"/>
      <c r="N2" s="838"/>
      <c r="O2" s="836" t="s">
        <v>700</v>
      </c>
      <c r="P2" s="836" t="s">
        <v>746</v>
      </c>
      <c r="Q2" s="836" t="s">
        <v>784</v>
      </c>
      <c r="R2" s="836" t="s">
        <v>798</v>
      </c>
      <c r="S2" s="836" t="s">
        <v>1603</v>
      </c>
      <c r="T2" s="836" t="s">
        <v>700</v>
      </c>
      <c r="U2" s="836" t="s">
        <v>746</v>
      </c>
      <c r="V2" s="836" t="s">
        <v>784</v>
      </c>
      <c r="W2" s="836" t="s">
        <v>798</v>
      </c>
      <c r="X2" s="836" t="s">
        <v>1603</v>
      </c>
      <c r="Y2" s="836"/>
      <c r="Z2" s="836" t="s">
        <v>700</v>
      </c>
      <c r="AA2" s="845" t="s">
        <v>746</v>
      </c>
      <c r="AB2" s="836" t="s">
        <v>784</v>
      </c>
      <c r="AC2" s="836" t="s">
        <v>798</v>
      </c>
      <c r="AD2" s="836" t="s">
        <v>1603</v>
      </c>
    </row>
    <row customHeight="1" ht="162">
      <c r="A3" s="840" t="s">
        <v>23</v>
      </c>
      <c r="B3" s="840"/>
      <c r="C3" s="2409" t="s">
        <v>1904</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38"/>
      <c r="P3" s="838"/>
      <c r="Q3" s="838"/>
      <c r="R3" s="838"/>
      <c r="S3" s="838"/>
      <c r="T3" s="838"/>
      <c r="U3" s="838"/>
      <c r="V3" s="838"/>
      <c r="W3" s="838"/>
      <c r="X3" s="838"/>
      <c r="Y3" s="996"/>
      <c r="Z3" s="841" t="s">
        <v>1905</v>
      </c>
      <c r="AA3" s="838" t="s">
        <v>1906</v>
      </c>
      <c r="AB3" s="841" t="s">
        <v>1907</v>
      </c>
      <c r="AC3" s="841" t="s">
        <v>1908</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1542</v>
      </c>
      <c r="D11" s="2412" t="s">
        <v>1538</v>
      </c>
      <c r="E11" s="2412" t="s">
        <v>1635</v>
      </c>
      <c r="F11" s="2412" t="s">
        <v>1909</v>
      </c>
      <c r="G11" s="2412"/>
      <c r="H11" s="893" t="s">
        <v>1910</v>
      </c>
      <c r="I11" s="893"/>
      <c r="J11" s="893"/>
      <c r="K11" s="893"/>
      <c r="L11" s="893"/>
      <c r="M11" s="839" t="str">
        <f>IF(TEMPLATE_SPHERE="HEAT",T11,U11)</f>
        <v>Количество поданных заявлений </v>
      </c>
      <c r="N11" s="83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38"/>
      <c r="P11" s="838"/>
      <c r="Q11" s="838"/>
      <c r="R11" s="838"/>
      <c r="S11" s="838"/>
      <c r="T11" s="838" t="s">
        <v>1911</v>
      </c>
      <c r="U11" s="838" t="s">
        <v>1912</v>
      </c>
      <c r="V11" s="838"/>
      <c r="W11" s="838"/>
      <c r="X11" s="838"/>
      <c r="Y11" s="996"/>
      <c r="Z11" s="841" t="s">
        <v>1913</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1"/>
      <c r="AC11" s="841"/>
      <c r="AD11" s="841"/>
    </row>
    <row customHeight="1" ht="45">
      <c r="A12" s="2406"/>
      <c r="B12" s="894">
        <v>2</v>
      </c>
      <c r="C12" s="2413"/>
      <c r="D12" s="2413"/>
      <c r="E12" s="2413"/>
      <c r="F12" s="2413"/>
      <c r="G12" s="2413"/>
      <c r="H12" s="893" t="s">
        <v>1914</v>
      </c>
      <c r="I12" s="893"/>
      <c r="J12" s="893"/>
      <c r="K12" s="893"/>
      <c r="L12" s="893"/>
      <c r="M12" s="839" t="str">
        <f>IF(TEMPLATE_SPHERE="HEAT",T12,U12)</f>
        <v>Количество исполненных заявлений </v>
      </c>
      <c r="N12" s="83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38"/>
      <c r="P12" s="838"/>
      <c r="Q12" s="838"/>
      <c r="R12" s="838"/>
      <c r="S12" s="838"/>
      <c r="T12" s="838" t="s">
        <v>1915</v>
      </c>
      <c r="U12" s="838" t="s">
        <v>1916</v>
      </c>
      <c r="V12" s="838"/>
      <c r="W12" s="838"/>
      <c r="X12" s="838"/>
      <c r="Y12" s="996"/>
      <c r="Z12" s="841" t="s">
        <v>1917</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1"/>
      <c r="AC12" s="841"/>
      <c r="AD12" s="841"/>
    </row>
    <row customHeight="1" ht="72">
      <c r="A13" s="2406"/>
      <c r="B13" s="894">
        <v>3</v>
      </c>
      <c r="C13" s="2413"/>
      <c r="D13" s="2413"/>
      <c r="E13" s="2413"/>
      <c r="F13" s="2413"/>
      <c r="G13" s="2413"/>
      <c r="H13" s="2405" t="s">
        <v>1918</v>
      </c>
      <c r="I13" s="893"/>
      <c r="J13" s="893"/>
      <c r="K13" s="893"/>
      <c r="L13" s="893"/>
      <c r="M13" s="839" t="str">
        <f>IF(TEMPLATE_SPHERE="HEAT",T13,U13)</f>
        <v>Количество заявлений о заключении договоров о подключении (технологическом присоединении)</v>
      </c>
      <c r="N13" s="83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38"/>
      <c r="P13" s="839"/>
      <c r="Q13" s="839"/>
      <c r="R13" s="839"/>
      <c r="S13" s="838"/>
      <c r="T13" s="838" t="s">
        <v>1919</v>
      </c>
      <c r="U13" s="839" t="s">
        <v>1920</v>
      </c>
      <c r="V13" s="839"/>
      <c r="W13" s="839"/>
      <c r="X13" s="838"/>
      <c r="Y13" s="996"/>
      <c r="Z13" s="841" t="s">
        <v>1921</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1922</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39"/>
      <c r="W14" s="839"/>
      <c r="X14" s="838"/>
      <c r="Y14" s="996"/>
      <c r="Z14" s="841" t="s">
        <v>1923</v>
      </c>
      <c r="AA14" s="844" t="s">
        <v>1923</v>
      </c>
      <c r="AB14" s="841"/>
      <c r="AC14" s="841"/>
      <c r="AD14" s="841"/>
    </row>
    <row customHeight="1" ht="108">
      <c r="A15" s="2406"/>
      <c r="B15" s="894">
        <v>5</v>
      </c>
      <c r="C15" s="2413"/>
      <c r="D15" s="2413"/>
      <c r="E15" s="2413"/>
      <c r="F15" s="2413"/>
      <c r="G15" s="2413"/>
      <c r="H15" s="2407" t="s">
        <v>1924</v>
      </c>
      <c r="I15" s="895"/>
      <c r="J15" s="895"/>
      <c r="K15" s="895"/>
      <c r="L15" s="895"/>
      <c r="M15" s="84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38"/>
      <c r="P15" s="839"/>
      <c r="Q15" s="839"/>
      <c r="R15" s="839"/>
      <c r="S15" s="838"/>
      <c r="T15" s="838" t="s">
        <v>1925</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39"/>
      <c r="W15" s="839"/>
      <c r="X15" s="838"/>
      <c r="Y15" s="996"/>
      <c r="Z15" s="841" t="s">
        <v>1926</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38"/>
      <c r="P16" s="839"/>
      <c r="Q16" s="839"/>
      <c r="R16" s="839"/>
      <c r="S16" s="838"/>
      <c r="T16" s="838"/>
      <c r="U16" s="839"/>
      <c r="V16" s="839"/>
      <c r="W16" s="839"/>
      <c r="X16" s="838"/>
      <c r="Y16" s="996"/>
      <c r="Z16" s="841" t="s">
        <v>1926</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1638</v>
      </c>
      <c r="B18" s="894">
        <v>1</v>
      </c>
      <c r="C18" s="838" t="s">
        <v>1910</v>
      </c>
      <c r="D18" s="963" t="s">
        <v>1910</v>
      </c>
      <c r="E18" s="838" t="s">
        <v>1910</v>
      </c>
      <c r="F18" s="838" t="s">
        <v>1910</v>
      </c>
      <c r="G18" s="838"/>
      <c r="H18" s="998"/>
      <c r="I18" s="1001">
        <f>INDEX(TEMPLATE_NUMBER_POINT_FHD,B18,MATCH(TEMPLATE_SPHERE,TEMPLATE_SPHERE_LIST_FOR_NOTE,0))</f>
        <v>1</v>
      </c>
      <c r="J18" s="1001" t="str">
        <f>INDEX(TEMPLATE_DATA_POINT_FHD,B18,MATCH(TEMPLATE_SPHERE,TEMPLATE_SPHERE_LIST_FOR_NOTE,0))</f>
        <v>Выручка от регулируемых видов деятельности в сфере горячего водоснабжения</v>
      </c>
      <c r="K18" s="1001" t="str">
        <f>INDEX(TEMPLATE_NOTE_POINT_FHD,B18,MATCH(TEMPLATE_SPHERE,TEMPLATE_SPHERE_LIST_FOR_NOTE,0))</f>
        <v>Указывается выручка с распределением по видам деятельности.</v>
      </c>
      <c r="L18" s="839">
        <f>IF(I18=0,"",I18)</f>
        <v>1</v>
      </c>
      <c r="M18" s="839" t="str">
        <f>IF(J18=0,"",J18)</f>
        <v>Выручка от регулируемых видов деятельности в сфере горячего водоснабжения</v>
      </c>
      <c r="N18" s="839" t="str">
        <f>IF(K18=0,"",K18)</f>
        <v>Указывается выручка с распределением по видам деятельности.</v>
      </c>
      <c r="O18" s="953">
        <v>1</v>
      </c>
      <c r="P18" s="953">
        <v>1</v>
      </c>
      <c r="Q18" s="953">
        <v>1</v>
      </c>
      <c r="R18" s="953">
        <v>1</v>
      </c>
      <c r="S18" s="953"/>
      <c r="T18" s="960" t="s">
        <v>1927</v>
      </c>
      <c r="U18" s="841" t="s">
        <v>1928</v>
      </c>
      <c r="V18" s="841" t="s">
        <v>1929</v>
      </c>
      <c r="W18" s="841" t="s">
        <v>1930</v>
      </c>
      <c r="X18" s="838"/>
      <c r="Y18" s="996"/>
      <c r="Z18" s="841" t="s">
        <v>1931</v>
      </c>
      <c r="AA18" s="844" t="s">
        <v>1932</v>
      </c>
      <c r="AB18" s="844" t="s">
        <v>1932</v>
      </c>
      <c r="AC18" s="844" t="s">
        <v>1932</v>
      </c>
      <c r="AD18" s="841"/>
    </row>
    <row customHeight="1" ht="36">
      <c r="A19" s="840"/>
      <c r="B19" s="894">
        <v>2</v>
      </c>
      <c r="C19" s="838" t="s">
        <v>1914</v>
      </c>
      <c r="D19" s="963" t="s">
        <v>1914</v>
      </c>
      <c r="E19" s="838" t="s">
        <v>1914</v>
      </c>
      <c r="F19" s="838" t="s">
        <v>1914</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регулируемым видам деятельности в сфере горячего водоснабжения, включая:</v>
      </c>
      <c r="N19" s="839" t="str">
        <f>IF(K19=0,"",K19)</f>
        <v>Указывается суммарная себестоимость производимых товаров.</v>
      </c>
      <c r="O19" s="953">
        <v>2</v>
      </c>
      <c r="P19" s="953">
        <v>2</v>
      </c>
      <c r="Q19" s="953">
        <v>2</v>
      </c>
      <c r="R19" s="953">
        <v>2</v>
      </c>
      <c r="S19" s="953"/>
      <c r="T19" s="960" t="s">
        <v>1933</v>
      </c>
      <c r="U19" s="841" t="s">
        <v>1934</v>
      </c>
      <c r="V19" s="841" t="s">
        <v>1935</v>
      </c>
      <c r="W19" s="841" t="s">
        <v>1936</v>
      </c>
      <c r="X19" s="838"/>
      <c r="Y19" s="996"/>
      <c r="Z19" s="841" t="s">
        <v>1937</v>
      </c>
      <c r="AA19" s="844" t="s">
        <v>1937</v>
      </c>
      <c r="AB19" s="844" t="s">
        <v>1937</v>
      </c>
      <c r="AC19" s="844" t="s">
        <v>1937</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используемую для горячего водоснабжения</v>
      </c>
      <c r="K20" s="1001">
        <f>INDEX(TEMPLATE_NOTE_POINT_FHD,B20,MATCH(TEMPLATE_SPHERE,TEMPLATE_SPHERE_LIST_FOR_NOTE,0))</f>
        <v>0</v>
      </c>
      <c r="L20" s="839" t="str">
        <f>IF(I20=0,"",I20)</f>
        <v>2.1</v>
      </c>
      <c r="M20" s="839" t="str">
        <f>IF(J20=0,"",J20)</f>
        <v>Расходы на приобретаемую тепловую энергию (мощность), используемую для горячего водоснабжения</v>
      </c>
      <c r="N20" s="839" t="str">
        <f>IF(K20=0,"",K20)</f>
        <v/>
      </c>
      <c r="O20" s="953" t="s">
        <v>600</v>
      </c>
      <c r="P20" s="953" t="s">
        <v>600</v>
      </c>
      <c r="Q20" s="953" t="s">
        <v>600</v>
      </c>
      <c r="R20" s="953" t="s">
        <v>600</v>
      </c>
      <c r="S20" s="953"/>
      <c r="T20" s="960" t="s">
        <v>1938</v>
      </c>
      <c r="U20" s="841" t="s">
        <v>1939</v>
      </c>
      <c r="V20" s="841" t="s">
        <v>1940</v>
      </c>
      <c r="W20" s="841" t="s">
        <v>1941</v>
      </c>
      <c r="X20" s="838"/>
      <c r="Y20" s="996"/>
      <c r="Z20" s="841"/>
      <c r="AA20" s="844"/>
      <c r="AB20" s="841"/>
      <c r="AC20" s="841"/>
      <c r="AD20" s="841"/>
    </row>
    <row customHeight="1" ht="36">
      <c r="A21" s="840"/>
      <c r="B21" s="894">
        <v>4</v>
      </c>
      <c r="C21" s="838">
        <v>2</v>
      </c>
      <c r="D21" s="963"/>
      <c r="E21" s="838"/>
      <c r="F21" s="838"/>
      <c r="G21" s="838"/>
      <c r="H21" s="998"/>
      <c r="I21" s="1001">
        <f>INDEX(TEMPLATE_NUMBER_POINT_FHD,B21,MATCH(TEMPLATE_SPHERE,TEMPLATE_SPHERE_LIST_FOR_NOTE,0))</f>
        <v>0</v>
      </c>
      <c r="J21" s="1001">
        <f>INDEX(TEMPLATE_DATA_POINT_FHD,B21,MATCH(TEMPLATE_SPHERE,TEMPLATE_SPHERE_LIST_FOR_NOTE,0))</f>
        <v>0</v>
      </c>
      <c r="K21" s="1001">
        <f>INDEX(TEMPLATE_NOTE_POINT_FHD,B21,MATCH(TEMPLATE_SPHERE,TEMPLATE_SPHERE_LIST_FOR_NOTE,0))</f>
        <v>0</v>
      </c>
      <c r="L21" s="839" t="str">
        <f>IF(I21=0,"",I21)</f>
        <v/>
      </c>
      <c r="M21" s="839" t="str">
        <f>IF(J21=0,"",J21)</f>
        <v/>
      </c>
      <c r="N21" s="839" t="str">
        <f>IF(K21=0,"",K21)</f>
        <v/>
      </c>
      <c r="O21" s="953" t="s">
        <v>291</v>
      </c>
      <c r="P21" s="953"/>
      <c r="Q21" s="953"/>
      <c r="R21" s="953"/>
      <c r="S21" s="953"/>
      <c r="T21" s="960" t="s">
        <v>1942</v>
      </c>
      <c r="U21" s="841"/>
      <c r="V21" s="841"/>
      <c r="W21" s="841"/>
      <c r="X21" s="838"/>
      <c r="Y21" s="996"/>
      <c r="Z21" s="841" t="s">
        <v>1943</v>
      </c>
      <c r="AA21" s="844"/>
      <c r="AB21" s="841"/>
      <c r="AC21" s="841"/>
      <c r="AD21" s="841"/>
    </row>
    <row customHeight="1" ht="36">
      <c r="A22" s="840"/>
      <c r="B22" s="894">
        <v>5</v>
      </c>
      <c r="C22" s="838">
        <v>3</v>
      </c>
      <c r="D22" s="963"/>
      <c r="E22" s="838"/>
      <c r="F22" s="838"/>
      <c r="G22" s="886"/>
      <c r="H22" s="954"/>
      <c r="I22" s="1001" t="str">
        <f>INDEX(TEMPLATE_NUMBER_POINT_FHD,B22,MATCH(TEMPLATE_SPHERE,TEMPLATE_SPHERE_LIST_FOR_NOTE,0))</f>
        <v>2.2</v>
      </c>
      <c r="J22" s="100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1">
        <f>INDEX(TEMPLATE_NOTE_POINT_FHD,B22,MATCH(TEMPLATE_SPHERE,TEMPLATE_SPHERE_LIST_FOR_NOTE,0))</f>
        <v>0</v>
      </c>
      <c r="L22" s="839" t="str">
        <f>IF(I22=0,"",I22)</f>
        <v>2.2</v>
      </c>
      <c r="M22" s="839" t="str">
        <f>IF(J22=0,"",J22)</f>
        <v>Расходы на тепловую энергию, производимую с применением собственных источников и используемую для горячего водоснабжения</v>
      </c>
      <c r="N22" s="839" t="str">
        <f>IF(K22=0,"",K22)</f>
        <v/>
      </c>
      <c r="O22" s="953"/>
      <c r="P22" s="953"/>
      <c r="Q22" s="953" t="s">
        <v>291</v>
      </c>
      <c r="R22" s="953"/>
      <c r="S22" s="953"/>
      <c r="T22" s="960"/>
      <c r="U22" s="841"/>
      <c r="V22" s="841" t="s">
        <v>1944</v>
      </c>
      <c r="W22" s="841"/>
      <c r="X22" s="838"/>
      <c r="Y22" s="996"/>
      <c r="Z22" s="841"/>
      <c r="AA22" s="844"/>
      <c r="AB22" s="841"/>
      <c r="AC22" s="841"/>
      <c r="AD22" s="841"/>
    </row>
    <row customHeight="1" ht="27">
      <c r="A23" s="840"/>
      <c r="B23" s="894">
        <v>6</v>
      </c>
      <c r="C23" s="838">
        <v>4</v>
      </c>
      <c r="D23" s="963"/>
      <c r="E23" s="838"/>
      <c r="F23" s="838"/>
      <c r="G23" s="886"/>
      <c r="H23" s="954"/>
      <c r="I23" s="1001" t="str">
        <f>INDEX(TEMPLATE_NUMBER_POINT_FHD,B23,MATCH(TEMPLATE_SPHERE,TEMPLATE_SPHERE_LIST_FOR_NOTE,0))</f>
        <v>2.3</v>
      </c>
      <c r="J23" s="1001" t="str">
        <f>INDEX(TEMPLATE_DATA_POINT_FHD,B23,MATCH(TEMPLATE_SPHERE,TEMPLATE_SPHERE_LIST_FOR_NOTE,0))</f>
        <v>Расходы на приобретаемую холодную воду, используемую для горячего водоснабжения</v>
      </c>
      <c r="K23" s="1001">
        <f>INDEX(TEMPLATE_NOTE_POINT_FHD,B23,MATCH(TEMPLATE_SPHERE,TEMPLATE_SPHERE_LIST_FOR_NOTE,0))</f>
        <v>0</v>
      </c>
      <c r="L23" s="839" t="str">
        <f>IF(I23=0,"",I23)</f>
        <v>2.3</v>
      </c>
      <c r="M23" s="839" t="str">
        <f>IF(J23=0,"",J23)</f>
        <v>Расходы на приобретаемую холодную воду, используемую для горячего водоснабжения</v>
      </c>
      <c r="N23" s="839" t="str">
        <f>IF(K23=0,"",K23)</f>
        <v/>
      </c>
      <c r="O23" s="953"/>
      <c r="P23" s="953"/>
      <c r="Q23" s="953" t="s">
        <v>294</v>
      </c>
      <c r="R23" s="953"/>
      <c r="S23" s="953"/>
      <c r="T23" s="960"/>
      <c r="U23" s="841"/>
      <c r="V23" s="841" t="s">
        <v>1945</v>
      </c>
      <c r="W23" s="841"/>
      <c r="X23" s="838"/>
      <c r="Y23" s="996"/>
      <c r="Z23" s="841"/>
      <c r="AA23" s="844"/>
      <c r="AB23" s="841"/>
      <c r="AC23" s="841"/>
      <c r="AD23" s="841"/>
    </row>
    <row customHeight="1" ht="36">
      <c r="A24" s="840"/>
      <c r="B24" s="894">
        <v>7</v>
      </c>
      <c r="C24" s="838">
        <v>5</v>
      </c>
      <c r="D24" s="963"/>
      <c r="E24" s="838"/>
      <c r="F24" s="838"/>
      <c r="G24" s="886"/>
      <c r="H24" s="954"/>
      <c r="I24" s="1001" t="str">
        <f>INDEX(TEMPLATE_NUMBER_POINT_FHD,B24,MATCH(TEMPLATE_SPHERE,TEMPLATE_SPHERE_LIST_FOR_NOTE,0))</f>
        <v>2.4</v>
      </c>
      <c r="J24" s="100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1">
        <f>INDEX(TEMPLATE_NOTE_POINT_FHD,B24,MATCH(TEMPLATE_SPHERE,TEMPLATE_SPHERE_LIST_FOR_NOTE,0))</f>
        <v>0</v>
      </c>
      <c r="L24" s="839" t="str">
        <f>IF(I24=0,"",I24)</f>
        <v>2.4</v>
      </c>
      <c r="M24" s="83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39" t="str">
        <f>IF(K24=0,"",K24)</f>
        <v/>
      </c>
      <c r="O24" s="953"/>
      <c r="P24" s="953"/>
      <c r="Q24" s="953" t="s">
        <v>620</v>
      </c>
      <c r="R24" s="953"/>
      <c r="S24" s="953"/>
      <c r="T24" s="960"/>
      <c r="U24" s="841"/>
      <c r="V24" s="841" t="s">
        <v>1946</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2.5</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2.5</v>
      </c>
      <c r="M25" s="839" t="str">
        <f>IF(J25=0,"",J25)</f>
        <v>Расходы на приобретаемую электрическую энергию (мощность), используемую в технологическом процессе</v>
      </c>
      <c r="N25" s="839" t="str">
        <f>IF(K25=0,"",K25)</f>
        <v/>
      </c>
      <c r="O25" s="953" t="s">
        <v>294</v>
      </c>
      <c r="P25" s="953" t="s">
        <v>291</v>
      </c>
      <c r="Q25" s="953" t="s">
        <v>627</v>
      </c>
      <c r="R25" s="953" t="s">
        <v>291</v>
      </c>
      <c r="S25" s="953"/>
      <c r="T25" s="960" t="s">
        <v>1947</v>
      </c>
      <c r="U25" s="841" t="s">
        <v>1947</v>
      </c>
      <c r="V25" s="841" t="s">
        <v>1947</v>
      </c>
      <c r="W25" s="841" t="s">
        <v>1947</v>
      </c>
      <c r="X25" s="838"/>
      <c r="Y25" s="996"/>
      <c r="Z25" s="841"/>
      <c r="AA25" s="844"/>
      <c r="AB25" s="841"/>
      <c r="AC25" s="841"/>
      <c r="AD25" s="841"/>
    </row>
    <row customHeight="1" ht="18">
      <c r="A26" s="840"/>
      <c r="B26" s="894">
        <v>9</v>
      </c>
      <c r="C26" s="838" t="s">
        <v>796</v>
      </c>
      <c r="D26" s="963"/>
      <c r="E26" s="838"/>
      <c r="F26" s="838"/>
      <c r="G26" s="886"/>
      <c r="H26" s="954"/>
      <c r="I26" s="1001" t="str">
        <f>INDEX(TEMPLATE_NUMBER_POINT_FHD,B26,MATCH(TEMPLATE_SPHERE,TEMPLATE_SPHERE_LIST_FOR_NOTE,0))</f>
        <v>2.5.1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2.5.1</v>
      </c>
      <c r="M26" s="839" t="str">
        <f>IF(J26=0,"",J26)</f>
        <v>Средневзвешенная стоимость 1 кВт.ч (с учетом мощности)</v>
      </c>
      <c r="N26" s="839" t="str">
        <f>IF(K26=0,"",K26)</f>
        <v/>
      </c>
      <c r="O26" s="953" t="s">
        <v>616</v>
      </c>
      <c r="P26" s="953" t="s">
        <v>610</v>
      </c>
      <c r="Q26" s="953" t="s">
        <v>1948</v>
      </c>
      <c r="R26" s="953" t="s">
        <v>610</v>
      </c>
      <c r="S26" s="953"/>
      <c r="T26" s="960" t="s">
        <v>1949</v>
      </c>
      <c r="U26" s="960" t="s">
        <v>1949</v>
      </c>
      <c r="V26" s="960" t="s">
        <v>1949</v>
      </c>
      <c r="W26" s="960" t="s">
        <v>1949</v>
      </c>
      <c r="X26" s="838"/>
      <c r="Y26" s="996"/>
      <c r="Z26" s="841"/>
      <c r="AA26" s="844"/>
      <c r="AB26" s="841"/>
      <c r="AC26" s="841"/>
      <c r="AD26" s="841"/>
    </row>
    <row customHeight="1" ht="18">
      <c r="A27" s="840"/>
      <c r="B27" s="894">
        <v>10</v>
      </c>
      <c r="C27" s="838" t="s">
        <v>1950</v>
      </c>
      <c r="D27" s="963"/>
      <c r="E27" s="838"/>
      <c r="F27" s="838"/>
      <c r="G27" s="886"/>
      <c r="H27" s="954"/>
      <c r="I27" s="1001" t="str">
        <f>INDEX(TEMPLATE_NUMBER_POINT_FHD,B27,MATCH(TEMPLATE_SPHERE,TEMPLATE_SPHERE_LIST_FOR_NOTE,0))</f>
        <v>2.5.2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2.5.2</v>
      </c>
      <c r="M27" s="839" t="str">
        <f>IF(J27=0,"",J27)</f>
        <v>Объём приобретения электрической энергии</v>
      </c>
      <c r="N27" s="839" t="str">
        <f>IF(K27=0,"",K27)</f>
        <v/>
      </c>
      <c r="O27" s="953" t="s">
        <v>618</v>
      </c>
      <c r="P27" s="953" t="s">
        <v>612</v>
      </c>
      <c r="Q27" s="953" t="s">
        <v>1951</v>
      </c>
      <c r="R27" s="953" t="s">
        <v>612</v>
      </c>
      <c r="S27" s="953"/>
      <c r="T27" s="960" t="s">
        <v>1952</v>
      </c>
      <c r="U27" s="960" t="s">
        <v>1952</v>
      </c>
      <c r="V27" s="960" t="s">
        <v>1952</v>
      </c>
      <c r="W27" s="960" t="s">
        <v>1952</v>
      </c>
      <c r="X27" s="838"/>
      <c r="Y27" s="996"/>
      <c r="Z27" s="841"/>
      <c r="AA27" s="844"/>
      <c r="AB27" s="841"/>
      <c r="AC27" s="841"/>
      <c r="AD27" s="841"/>
    </row>
    <row customHeight="1" ht="27">
      <c r="A28" s="840"/>
      <c r="B28" s="894">
        <v>11</v>
      </c>
      <c r="C28" s="838">
        <v>7</v>
      </c>
      <c r="D28" s="963"/>
      <c r="E28" s="838"/>
      <c r="F28" s="838"/>
      <c r="G28" s="886"/>
      <c r="H28" s="954"/>
      <c r="I28" s="1001">
        <f>INDEX(TEMPLATE_NUMBER_POINT_FHD,B28,MATCH(TEMPLATE_SPHERE,TEMPLATE_SPHERE_LIST_FOR_NOTE,0))</f>
        <v>0</v>
      </c>
      <c r="J28" s="1001">
        <f>INDEX(TEMPLATE_DATA_POINT_FHD,B28,MATCH(TEMPLATE_SPHERE,TEMPLATE_SPHERE_LIST_FOR_NOTE,0))</f>
        <v>0</v>
      </c>
      <c r="K28" s="1001">
        <f>INDEX(TEMPLATE_NOTE_POINT_FHD,B28,MATCH(TEMPLATE_SPHERE,TEMPLATE_SPHERE_LIST_FOR_NOTE,0))</f>
        <v>0</v>
      </c>
      <c r="L28" s="839" t="str">
        <f>IF(I28=0,"",I28)</f>
        <v/>
      </c>
      <c r="M28" s="839" t="str">
        <f>IF(J28=0,"",J28)</f>
        <v/>
      </c>
      <c r="N28" s="839" t="str">
        <f>IF(K28=0,"",K28)</f>
        <v/>
      </c>
      <c r="O28" s="953" t="s">
        <v>620</v>
      </c>
      <c r="P28" s="953"/>
      <c r="Q28" s="953"/>
      <c r="R28" s="953"/>
      <c r="S28" s="953"/>
      <c r="T28" s="960" t="s">
        <v>1953</v>
      </c>
      <c r="U28" s="841"/>
      <c r="V28" s="841"/>
      <c r="W28" s="841"/>
      <c r="X28" s="838"/>
      <c r="Y28" s="996"/>
      <c r="Z28" s="841"/>
      <c r="AA28" s="844"/>
      <c r="AB28" s="841"/>
      <c r="AC28" s="841"/>
      <c r="AD28" s="841"/>
    </row>
    <row customHeight="1" ht="27">
      <c r="A29" s="840"/>
      <c r="B29" s="894">
        <v>12</v>
      </c>
      <c r="C29" s="838">
        <v>8</v>
      </c>
      <c r="D29" s="963"/>
      <c r="E29" s="838"/>
      <c r="F29" s="838"/>
      <c r="G29" s="886"/>
      <c r="H29" s="954"/>
      <c r="I29" s="1001">
        <f>INDEX(TEMPLATE_NUMBER_POINT_FHD,B29,MATCH(TEMPLATE_SPHERE,TEMPLATE_SPHERE_LIST_FOR_NOTE,0))</f>
        <v>0</v>
      </c>
      <c r="J29" s="1001">
        <f>INDEX(TEMPLATE_DATA_POINT_FHD,B29,MATCH(TEMPLATE_SPHERE,TEMPLATE_SPHERE_LIST_FOR_NOTE,0))</f>
        <v>0</v>
      </c>
      <c r="K29" s="1001">
        <f>INDEX(TEMPLATE_NOTE_POINT_FHD,B29,MATCH(TEMPLATE_SPHERE,TEMPLATE_SPHERE_LIST_FOR_NOTE,0))</f>
        <v>0</v>
      </c>
      <c r="L29" s="839" t="str">
        <f>IF(I29=0,"",I29)</f>
        <v/>
      </c>
      <c r="M29" s="839" t="str">
        <f>IF(J29=0,"",J29)</f>
        <v/>
      </c>
      <c r="N29" s="839" t="str">
        <f>IF(K29=0,"",K29)</f>
        <v/>
      </c>
      <c r="O29" s="953" t="s">
        <v>627</v>
      </c>
      <c r="P29" s="953" t="s">
        <v>294</v>
      </c>
      <c r="Q29" s="953"/>
      <c r="R29" s="953" t="s">
        <v>294</v>
      </c>
      <c r="S29" s="953"/>
      <c r="T29" s="960" t="s">
        <v>1954</v>
      </c>
      <c r="U29" s="841" t="s">
        <v>1954</v>
      </c>
      <c r="V29" s="841"/>
      <c r="W29" s="841" t="s">
        <v>1954</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Указывается общая сумма расходов на оплату труда и отчислений на социальные нужды основного производственного персонала.</v>
      </c>
      <c r="O30" s="953" t="s">
        <v>629</v>
      </c>
      <c r="P30" s="953" t="s">
        <v>620</v>
      </c>
      <c r="Q30" s="953" t="s">
        <v>629</v>
      </c>
      <c r="R30" s="953" t="s">
        <v>620</v>
      </c>
      <c r="S30" s="953"/>
      <c r="T30" s="960" t="s">
        <v>1955</v>
      </c>
      <c r="U30" s="841" t="s">
        <v>1955</v>
      </c>
      <c r="V30" s="841" t="s">
        <v>1955</v>
      </c>
      <c r="W30" s="841" t="s">
        <v>1955</v>
      </c>
      <c r="X30" s="838"/>
      <c r="Y30" s="996"/>
      <c r="Z30" s="841"/>
      <c r="AA30" s="844" t="s">
        <v>1956</v>
      </c>
      <c r="AB30" s="844" t="s">
        <v>1956</v>
      </c>
      <c r="AC30" s="844" t="s">
        <v>1956</v>
      </c>
      <c r="AD30" s="841"/>
    </row>
    <row customHeight="1" ht="18">
      <c r="A31" s="840"/>
      <c r="B31" s="894">
        <v>14</v>
      </c>
      <c r="C31" s="838" t="s">
        <v>1957</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1958</v>
      </c>
      <c r="P31" s="953" t="s">
        <v>623</v>
      </c>
      <c r="Q31" s="953" t="s">
        <v>1958</v>
      </c>
      <c r="R31" s="953" t="s">
        <v>623</v>
      </c>
      <c r="S31" s="953"/>
      <c r="T31" s="961" t="s">
        <v>1959</v>
      </c>
      <c r="U31" s="841" t="s">
        <v>1959</v>
      </c>
      <c r="V31" s="841" t="s">
        <v>1959</v>
      </c>
      <c r="W31" s="841" t="s">
        <v>1959</v>
      </c>
      <c r="X31" s="838"/>
      <c r="Y31" s="996"/>
      <c r="Z31" s="841"/>
      <c r="AA31" s="844"/>
      <c r="AB31" s="844"/>
      <c r="AC31" s="844"/>
      <c r="AD31" s="841"/>
    </row>
    <row customHeight="1" ht="36">
      <c r="A32" s="840"/>
      <c r="B32" s="894">
        <v>15</v>
      </c>
      <c r="C32" s="838" t="s">
        <v>1960</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1961</v>
      </c>
      <c r="P32" s="953" t="s">
        <v>625</v>
      </c>
      <c r="Q32" s="953" t="s">
        <v>1961</v>
      </c>
      <c r="R32" s="953" t="s">
        <v>625</v>
      </c>
      <c r="S32" s="953"/>
      <c r="T32" s="962" t="s">
        <v>1962</v>
      </c>
      <c r="U32" s="841" t="s">
        <v>1962</v>
      </c>
      <c r="V32" s="841" t="s">
        <v>1962</v>
      </c>
      <c r="W32" s="841" t="s">
        <v>1962</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Указывается общая сумма расходов на оплату труда и отчислений на социальные нужды административно-управленческого персонала.</v>
      </c>
      <c r="O33" s="953" t="s">
        <v>631</v>
      </c>
      <c r="P33" s="953" t="s">
        <v>627</v>
      </c>
      <c r="Q33" s="953" t="s">
        <v>631</v>
      </c>
      <c r="R33" s="953" t="s">
        <v>627</v>
      </c>
      <c r="S33" s="953"/>
      <c r="T33" s="961" t="s">
        <v>1963</v>
      </c>
      <c r="U33" s="841" t="s">
        <v>1963</v>
      </c>
      <c r="V33" s="841" t="s">
        <v>1963</v>
      </c>
      <c r="W33" s="841" t="s">
        <v>1964</v>
      </c>
      <c r="X33" s="838"/>
      <c r="Y33" s="996"/>
      <c r="Z33" s="841"/>
      <c r="AA33" s="844" t="s">
        <v>1965</v>
      </c>
      <c r="AB33" s="844" t="s">
        <v>1965</v>
      </c>
      <c r="AC33" s="844" t="s">
        <v>1965</v>
      </c>
      <c r="AD33" s="841"/>
    </row>
    <row customHeight="1" ht="27">
      <c r="A34" s="840"/>
      <c r="B34" s="894">
        <v>17</v>
      </c>
      <c r="C34" s="838" t="s">
        <v>1966</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1967</v>
      </c>
      <c r="P34" s="953" t="s">
        <v>1948</v>
      </c>
      <c r="Q34" s="953" t="s">
        <v>1967</v>
      </c>
      <c r="R34" s="953" t="s">
        <v>1948</v>
      </c>
      <c r="S34" s="953"/>
      <c r="T34" s="962" t="s">
        <v>1968</v>
      </c>
      <c r="U34" s="841" t="s">
        <v>1968</v>
      </c>
      <c r="V34" s="841" t="s">
        <v>1968</v>
      </c>
      <c r="W34" s="841" t="s">
        <v>1969</v>
      </c>
      <c r="X34" s="838"/>
      <c r="Y34" s="996"/>
      <c r="Z34" s="841"/>
      <c r="AA34" s="844"/>
      <c r="AB34" s="841"/>
      <c r="AC34" s="841"/>
      <c r="AD34" s="841"/>
    </row>
    <row customHeight="1" ht="45">
      <c r="A35" s="840"/>
      <c r="B35" s="894">
        <v>18</v>
      </c>
      <c r="C35" s="838" t="s">
        <v>1970</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1971</v>
      </c>
      <c r="P35" s="953" t="s">
        <v>1951</v>
      </c>
      <c r="Q35" s="953" t="s">
        <v>1971</v>
      </c>
      <c r="R35" s="953" t="s">
        <v>1951</v>
      </c>
      <c r="S35" s="953"/>
      <c r="T35" s="960" t="s">
        <v>1972</v>
      </c>
      <c r="U35" s="841" t="s">
        <v>1972</v>
      </c>
      <c r="V35" s="841" t="s">
        <v>1972</v>
      </c>
      <c r="W35" s="841" t="s">
        <v>1972</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633</v>
      </c>
      <c r="P36" s="953" t="s">
        <v>629</v>
      </c>
      <c r="Q36" s="953" t="s">
        <v>633</v>
      </c>
      <c r="R36" s="953" t="s">
        <v>629</v>
      </c>
      <c r="S36" s="953"/>
      <c r="T36" s="960" t="s">
        <v>1973</v>
      </c>
      <c r="U36" s="841" t="s">
        <v>1973</v>
      </c>
      <c r="V36" s="841" t="s">
        <v>1973</v>
      </c>
      <c r="W36" s="841" t="s">
        <v>1973</v>
      </c>
      <c r="X36" s="838"/>
      <c r="Y36" s="996"/>
      <c r="Z36" s="841"/>
      <c r="AA36" s="844"/>
      <c r="AB36" s="841"/>
      <c r="AC36" s="841"/>
      <c r="AD36" s="841"/>
    </row>
    <row customHeight="1" ht="18">
      <c r="A37" s="840"/>
      <c r="B37" s="894">
        <v>20</v>
      </c>
      <c r="C37" s="838" t="s">
        <v>1974</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1975</v>
      </c>
      <c r="P37" s="953" t="s">
        <v>1958</v>
      </c>
      <c r="Q37" s="953" t="s">
        <v>1975</v>
      </c>
      <c r="R37" s="953" t="s">
        <v>1958</v>
      </c>
      <c r="S37" s="953"/>
      <c r="T37" s="960" t="s">
        <v>1976</v>
      </c>
      <c r="U37" s="841" t="s">
        <v>1976</v>
      </c>
      <c r="V37" s="841" t="s">
        <v>1976</v>
      </c>
      <c r="W37" s="841" t="s">
        <v>1976</v>
      </c>
      <c r="X37" s="838"/>
      <c r="Y37" s="996"/>
      <c r="Z37" s="841"/>
      <c r="AA37" s="844"/>
      <c r="AB37" s="841"/>
      <c r="AC37" s="841"/>
      <c r="AD37" s="841"/>
    </row>
    <row customHeight="1" ht="18">
      <c r="A38" s="840"/>
      <c r="B38" s="894">
        <v>21</v>
      </c>
      <c r="C38" s="838" t="s">
        <v>1977</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1978</v>
      </c>
      <c r="P38" s="953" t="s">
        <v>1961</v>
      </c>
      <c r="Q38" s="953" t="s">
        <v>1978</v>
      </c>
      <c r="R38" s="953" t="s">
        <v>1961</v>
      </c>
      <c r="S38" s="953"/>
      <c r="T38" s="960" t="s">
        <v>1979</v>
      </c>
      <c r="U38" s="841" t="s">
        <v>1979</v>
      </c>
      <c r="V38" s="841" t="s">
        <v>1979</v>
      </c>
      <c r="W38" s="841" t="s">
        <v>1979</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регулируемых видов деятельности в сфере горячего водоснабжения</v>
      </c>
      <c r="N39" s="839" t="str">
        <f>IF(K39=0,"",K39)</f>
        <v/>
      </c>
      <c r="O39" s="953" t="s">
        <v>637</v>
      </c>
      <c r="P39" s="953" t="s">
        <v>631</v>
      </c>
      <c r="Q39" s="953" t="s">
        <v>637</v>
      </c>
      <c r="R39" s="953" t="s">
        <v>631</v>
      </c>
      <c r="S39" s="953"/>
      <c r="T39" s="960" t="s">
        <v>1980</v>
      </c>
      <c r="U39" s="841" t="s">
        <v>1981</v>
      </c>
      <c r="V39" s="841" t="s">
        <v>1982</v>
      </c>
      <c r="W39" s="841" t="s">
        <v>1983</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1984</v>
      </c>
      <c r="P40" s="953" t="s">
        <v>633</v>
      </c>
      <c r="Q40" s="953" t="s">
        <v>1984</v>
      </c>
      <c r="R40" s="953" t="s">
        <v>633</v>
      </c>
      <c r="S40" s="953"/>
      <c r="T40" s="838" t="s">
        <v>1985</v>
      </c>
      <c r="U40" s="838" t="s">
        <v>1985</v>
      </c>
      <c r="V40" s="838" t="s">
        <v>1985</v>
      </c>
      <c r="W40" s="838" t="s">
        <v>1985</v>
      </c>
      <c r="X40" s="838"/>
      <c r="Y40" s="996"/>
      <c r="Z40" s="841" t="s">
        <v>1986</v>
      </c>
      <c r="AA40" s="844" t="s">
        <v>1986</v>
      </c>
      <c r="AB40" s="844" t="s">
        <v>1986</v>
      </c>
      <c r="AC40" s="844" t="s">
        <v>1986</v>
      </c>
      <c r="AD40" s="841"/>
    </row>
    <row customHeight="1" ht="27">
      <c r="A41" s="840"/>
      <c r="B41" s="894">
        <v>24</v>
      </c>
      <c r="C41" s="838" t="s">
        <v>1987</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1988</v>
      </c>
      <c r="P41" s="953" t="s">
        <v>1975</v>
      </c>
      <c r="Q41" s="953" t="s">
        <v>1988</v>
      </c>
      <c r="R41" s="953" t="s">
        <v>1975</v>
      </c>
      <c r="S41" s="953"/>
      <c r="T41" s="838" t="s">
        <v>1989</v>
      </c>
      <c r="U41" s="838" t="s">
        <v>1989</v>
      </c>
      <c r="V41" s="838" t="s">
        <v>1989</v>
      </c>
      <c r="W41" s="838" t="s">
        <v>1989</v>
      </c>
      <c r="X41" s="838"/>
      <c r="Y41" s="996"/>
      <c r="Z41" s="841" t="s">
        <v>1990</v>
      </c>
      <c r="AA41" s="841" t="s">
        <v>1990</v>
      </c>
      <c r="AB41" s="841" t="s">
        <v>1990</v>
      </c>
      <c r="AC41" s="841" t="s">
        <v>1990</v>
      </c>
      <c r="AD41" s="841"/>
    </row>
    <row customHeight="1" ht="27">
      <c r="A42" s="840"/>
      <c r="B42" s="894">
        <v>25</v>
      </c>
      <c r="C42" s="838" t="s">
        <v>1991</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1992</v>
      </c>
      <c r="P42" s="953" t="s">
        <v>1978</v>
      </c>
      <c r="Q42" s="953" t="s">
        <v>1992</v>
      </c>
      <c r="R42" s="953" t="s">
        <v>1978</v>
      </c>
      <c r="S42" s="953"/>
      <c r="T42" s="838" t="s">
        <v>1993</v>
      </c>
      <c r="U42" s="838" t="s">
        <v>1993</v>
      </c>
      <c r="V42" s="838" t="s">
        <v>1993</v>
      </c>
      <c r="W42" s="838" t="s">
        <v>1993</v>
      </c>
      <c r="X42" s="838"/>
      <c r="Y42" s="996"/>
      <c r="Z42" s="841" t="s">
        <v>1994</v>
      </c>
      <c r="AA42" s="841" t="s">
        <v>1994</v>
      </c>
      <c r="AB42" s="841" t="s">
        <v>1994</v>
      </c>
      <c r="AC42" s="841" t="s">
        <v>1994</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1995</v>
      </c>
      <c r="P43" s="953" t="s">
        <v>637</v>
      </c>
      <c r="Q43" s="953" t="s">
        <v>1995</v>
      </c>
      <c r="R43" s="953" t="s">
        <v>637</v>
      </c>
      <c r="S43" s="953"/>
      <c r="T43" s="838" t="s">
        <v>1996</v>
      </c>
      <c r="U43" s="838" t="s">
        <v>1996</v>
      </c>
      <c r="V43" s="838" t="s">
        <v>1996</v>
      </c>
      <c r="W43" s="838" t="s">
        <v>1996</v>
      </c>
      <c r="X43" s="838"/>
      <c r="Y43" s="996"/>
      <c r="Z43" s="841" t="s">
        <v>1997</v>
      </c>
      <c r="AA43" s="841" t="s">
        <v>1997</v>
      </c>
      <c r="AB43" s="841" t="s">
        <v>1997</v>
      </c>
      <c r="AC43" s="841" t="s">
        <v>1997</v>
      </c>
      <c r="AD43" s="841"/>
    </row>
    <row customHeight="1" ht="27">
      <c r="A44" s="840"/>
      <c r="B44" s="894">
        <v>27</v>
      </c>
      <c r="C44" s="838" t="s">
        <v>1998</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1999</v>
      </c>
      <c r="P44" s="953" t="s">
        <v>2000</v>
      </c>
      <c r="Q44" s="953" t="s">
        <v>1999</v>
      </c>
      <c r="R44" s="953" t="s">
        <v>2000</v>
      </c>
      <c r="S44" s="953"/>
      <c r="T44" s="838" t="s">
        <v>1989</v>
      </c>
      <c r="U44" s="838" t="s">
        <v>1989</v>
      </c>
      <c r="V44" s="838" t="s">
        <v>1989</v>
      </c>
      <c r="W44" s="838" t="s">
        <v>1989</v>
      </c>
      <c r="X44" s="838"/>
      <c r="Y44" s="996"/>
      <c r="Z44" s="841" t="s">
        <v>2001</v>
      </c>
      <c r="AA44" s="841" t="s">
        <v>2001</v>
      </c>
      <c r="AB44" s="841" t="s">
        <v>2001</v>
      </c>
      <c r="AC44" s="841" t="s">
        <v>2001</v>
      </c>
      <c r="AD44" s="841"/>
    </row>
    <row customHeight="1" ht="27">
      <c r="A45" s="840"/>
      <c r="B45" s="894">
        <v>28</v>
      </c>
      <c r="C45" s="838" t="s">
        <v>2002</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2003</v>
      </c>
      <c r="P45" s="953" t="s">
        <v>2004</v>
      </c>
      <c r="Q45" s="953" t="s">
        <v>2003</v>
      </c>
      <c r="R45" s="953" t="s">
        <v>2004</v>
      </c>
      <c r="S45" s="953"/>
      <c r="T45" s="838" t="s">
        <v>1993</v>
      </c>
      <c r="U45" s="838" t="s">
        <v>1993</v>
      </c>
      <c r="V45" s="838" t="s">
        <v>1993</v>
      </c>
      <c r="W45" s="838" t="s">
        <v>1993</v>
      </c>
      <c r="X45" s="838"/>
      <c r="Y45" s="996"/>
      <c r="Z45" s="841" t="s">
        <v>2005</v>
      </c>
      <c r="AA45" s="841" t="s">
        <v>2005</v>
      </c>
      <c r="AB45" s="841" t="s">
        <v>2005</v>
      </c>
      <c r="AC45" s="841" t="s">
        <v>2005</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2006</v>
      </c>
      <c r="P46" s="953" t="s">
        <v>1984</v>
      </c>
      <c r="Q46" s="953" t="s">
        <v>2006</v>
      </c>
      <c r="R46" s="953" t="s">
        <v>1984</v>
      </c>
      <c r="S46" s="953"/>
      <c r="T46" s="838" t="s">
        <v>2007</v>
      </c>
      <c r="U46" s="838" t="s">
        <v>2007</v>
      </c>
      <c r="V46" s="838" t="s">
        <v>2007</v>
      </c>
      <c r="W46" s="838" t="s">
        <v>2007</v>
      </c>
      <c r="X46" s="838"/>
      <c r="Y46" s="996"/>
      <c r="Z46" s="841" t="s">
        <v>2008</v>
      </c>
      <c r="AA46" s="841" t="s">
        <v>2009</v>
      </c>
      <c r="AB46" s="841" t="s">
        <v>2009</v>
      </c>
      <c r="AC46" s="841" t="s">
        <v>2009</v>
      </c>
      <c r="AD46" s="841"/>
    </row>
    <row customHeight="1" ht="54">
      <c r="A47" s="840"/>
      <c r="B47" s="894">
        <v>30</v>
      </c>
      <c r="C47" s="838" t="s">
        <v>2010</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2011</v>
      </c>
      <c r="P47" s="953" t="s">
        <v>1988</v>
      </c>
      <c r="Q47" s="953" t="s">
        <v>2011</v>
      </c>
      <c r="R47" s="953" t="s">
        <v>1988</v>
      </c>
      <c r="S47" s="953"/>
      <c r="T47" s="838" t="s">
        <v>2012</v>
      </c>
      <c r="U47" s="838" t="s">
        <v>2012</v>
      </c>
      <c r="V47" s="838" t="s">
        <v>2012</v>
      </c>
      <c r="W47" s="838" t="s">
        <v>2012</v>
      </c>
      <c r="X47" s="838"/>
      <c r="Y47" s="996"/>
      <c r="Z47" s="841"/>
      <c r="AA47" s="844"/>
      <c r="AB47" s="844"/>
      <c r="AC47" s="844"/>
      <c r="AD47" s="841"/>
    </row>
    <row customHeight="1" ht="54">
      <c r="A48" s="840"/>
      <c r="B48" s="894">
        <v>31</v>
      </c>
      <c r="C48" s="838">
        <v>16</v>
      </c>
      <c r="D48" s="963"/>
      <c r="E48" s="838"/>
      <c r="F48" s="838"/>
      <c r="G48" s="838"/>
      <c r="H48" s="886"/>
      <c r="I48" s="1001" t="str">
        <f>INDEX(TEMPLATE_NUMBER_POINT_FHD,B48,MATCH(TEMPLATE_SPHERE,TEMPLATE_SPHERE_LIST_FOR_NOTE,0))</f>
        <v>2.13</v>
      </c>
      <c r="J48" s="100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9" t="str">
        <f>IF(I48=0,"",I48)</f>
        <v>2.13</v>
      </c>
      <c r="M48" s="83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3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3"/>
      <c r="P48" s="953" t="s">
        <v>1995</v>
      </c>
      <c r="Q48" s="953" t="s">
        <v>2013</v>
      </c>
      <c r="R48" s="953" t="s">
        <v>1995</v>
      </c>
      <c r="S48" s="953"/>
      <c r="T48" s="838"/>
      <c r="U48" s="838" t="s">
        <v>2014</v>
      </c>
      <c r="V48" s="838" t="s">
        <v>2015</v>
      </c>
      <c r="W48" s="838" t="s">
        <v>2015</v>
      </c>
      <c r="X48" s="838"/>
      <c r="Y48" s="996"/>
      <c r="Z48" s="841"/>
      <c r="AA48" s="844" t="s">
        <v>2009</v>
      </c>
      <c r="AB48" s="844" t="s">
        <v>2009</v>
      </c>
      <c r="AC48" s="844" t="s">
        <v>2009</v>
      </c>
      <c r="AD48" s="841"/>
    </row>
    <row customHeight="1" ht="54">
      <c r="A49" s="840"/>
      <c r="B49" s="894">
        <v>32</v>
      </c>
      <c r="C49" s="838" t="s">
        <v>2016</v>
      </c>
      <c r="D49" s="963"/>
      <c r="E49" s="838"/>
      <c r="F49" s="838"/>
      <c r="G49" s="838"/>
      <c r="H49" s="886"/>
      <c r="I49" s="1001" t="str">
        <f>INDEX(TEMPLATE_NUMBER_POINT_FHD,B49,MATCH(TEMPLATE_SPHERE,TEMPLATE_SPHERE_LIST_FOR_NOTE,0))</f>
        <v>2.13.1</v>
      </c>
      <c r="J49" s="100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1">
        <f>INDEX(TEMPLATE_NOTE_POINT_FHD,B49,MATCH(TEMPLATE_SPHERE,TEMPLATE_SPHERE_LIST_FOR_NOTE,0))</f>
        <v>0</v>
      </c>
      <c r="L49" s="839" t="str">
        <f>IF(I49=0,"",I49)</f>
        <v>2.13.1</v>
      </c>
      <c r="M49" s="83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9" t="str">
        <f>IF(K49=0,"",K49)</f>
        <v/>
      </c>
      <c r="O49" s="953"/>
      <c r="P49" s="953" t="s">
        <v>1999</v>
      </c>
      <c r="Q49" s="953" t="s">
        <v>2017</v>
      </c>
      <c r="R49" s="953" t="s">
        <v>1999</v>
      </c>
      <c r="S49" s="953"/>
      <c r="T49" s="838"/>
      <c r="U49" s="838" t="s">
        <v>2012</v>
      </c>
      <c r="V49" s="838" t="s">
        <v>2012</v>
      </c>
      <c r="W49" s="838" t="s">
        <v>2012</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2.14</v>
      </c>
      <c r="J50" s="100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9" t="str">
        <f>IF(I50=0,"",I50)</f>
        <v>2.14</v>
      </c>
      <c r="M50" s="83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3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3" t="s">
        <v>2013</v>
      </c>
      <c r="P50" s="953" t="s">
        <v>2006</v>
      </c>
      <c r="Q50" s="953" t="s">
        <v>2018</v>
      </c>
      <c r="R50" s="953" t="s">
        <v>2006</v>
      </c>
      <c r="S50" s="953"/>
      <c r="T50" s="838" t="s">
        <v>2019</v>
      </c>
      <c r="U50" s="838" t="s">
        <v>2020</v>
      </c>
      <c r="V50" s="838" t="s">
        <v>2021</v>
      </c>
      <c r="W50" s="838" t="s">
        <v>2022</v>
      </c>
      <c r="X50" s="838"/>
      <c r="Y50" s="996"/>
      <c r="Z50" s="841" t="s">
        <v>2023</v>
      </c>
      <c r="AA50" s="844" t="s">
        <v>2024</v>
      </c>
      <c r="AB50" s="844" t="s">
        <v>2024</v>
      </c>
      <c r="AC50" s="844" t="s">
        <v>2024</v>
      </c>
      <c r="AD50" s="841"/>
    </row>
    <row customHeight="1" ht="27">
      <c r="A51" s="840"/>
      <c r="B51" s="894">
        <v>34</v>
      </c>
      <c r="C51" s="838" t="s">
        <v>2025</v>
      </c>
      <c r="D51" s="963"/>
      <c r="E51" s="838"/>
      <c r="F51" s="838"/>
      <c r="G51" s="838"/>
      <c r="H51" s="886"/>
      <c r="I51" s="1001">
        <f>INDEX(TEMPLATE_NUMBER_POINT_FHD,B51,MATCH(TEMPLATE_SPHERE,TEMPLATE_SPHERE_LIST_FOR_NOTE,0))</f>
        <v>0</v>
      </c>
      <c r="J51" s="1001">
        <f>INDEX(TEMPLATE_DATA_POINT_FHD,B51,MATCH(TEMPLATE_SPHERE,TEMPLATE_SPHERE_LIST_FOR_NOTE,0))</f>
        <v>0</v>
      </c>
      <c r="K51" s="1001">
        <f>INDEX(TEMPLATE_NOTE_POINT_FHD,B51,MATCH(TEMPLATE_SPHERE,TEMPLATE_SPHERE_LIST_FOR_NOTE,0))</f>
        <v>0</v>
      </c>
      <c r="L51" s="839" t="str">
        <f>IF(I51=0,"",I51)</f>
        <v/>
      </c>
      <c r="M51" s="839" t="str">
        <f>IF(J51=0,"",J51)</f>
        <v/>
      </c>
      <c r="N51" s="839" t="str">
        <f>IF(K51=0,"",K51)</f>
        <v/>
      </c>
      <c r="O51" s="953" t="s">
        <v>86</v>
      </c>
      <c r="P51" s="953"/>
      <c r="Q51" s="953"/>
      <c r="R51" s="953"/>
      <c r="S51" s="953"/>
      <c r="T51" s="838" t="s">
        <v>2026</v>
      </c>
      <c r="U51" s="838"/>
      <c r="V51" s="838"/>
      <c r="W51" s="838"/>
      <c r="X51" s="838"/>
      <c r="Y51" s="996"/>
      <c r="Z51" s="841"/>
      <c r="AA51" s="844"/>
      <c r="AB51" s="844"/>
      <c r="AC51" s="844"/>
      <c r="AD51" s="841"/>
    </row>
    <row customHeight="1" ht="36">
      <c r="A52" s="840"/>
      <c r="B52" s="894">
        <v>35</v>
      </c>
      <c r="C52" s="838" t="s">
        <v>1918</v>
      </c>
      <c r="D52" s="963" t="s">
        <v>1918</v>
      </c>
      <c r="E52" s="838" t="s">
        <v>1918</v>
      </c>
      <c r="F52" s="838" t="s">
        <v>1918</v>
      </c>
      <c r="G52" s="838"/>
      <c r="H52" s="886"/>
      <c r="I52" s="1001" t="str">
        <f>INDEX(TEMPLATE_NUMBER_POINT_FHD,B52,MATCH(TEMPLATE_SPHERE,TEMPLATE_SPHERE_LIST_FOR_NOTE,0))</f>
        <v>3</v>
      </c>
      <c r="J52" s="100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3</v>
      </c>
      <c r="M52" s="839" t="str">
        <f>IF(J52=0,"",J52)</f>
        <v>Чистая прибыль, полученная от регулируемого вида деятельности в сфере горячего водоснабжения, в том числе:</v>
      </c>
      <c r="N52" s="839" t="str">
        <f>IF(K52=0,"",K52)</f>
        <v>Указывается общая сумма чистой прибыли, полученной от регулируемого вида деятельности.</v>
      </c>
      <c r="O52" s="953" t="s">
        <v>87</v>
      </c>
      <c r="P52" s="953" t="s">
        <v>86</v>
      </c>
      <c r="Q52" s="953" t="s">
        <v>86</v>
      </c>
      <c r="R52" s="953" t="s">
        <v>86</v>
      </c>
      <c r="S52" s="953"/>
      <c r="T52" s="838" t="s">
        <v>2027</v>
      </c>
      <c r="U52" s="838" t="s">
        <v>2028</v>
      </c>
      <c r="V52" s="838" t="s">
        <v>2029</v>
      </c>
      <c r="W52" s="838" t="s">
        <v>2030</v>
      </c>
      <c r="X52" s="838"/>
      <c r="Y52" s="996"/>
      <c r="Z52" s="841" t="s">
        <v>641</v>
      </c>
      <c r="AA52" s="844" t="s">
        <v>641</v>
      </c>
      <c r="AB52" s="844" t="s">
        <v>641</v>
      </c>
      <c r="AC52" s="844" t="s">
        <v>641</v>
      </c>
      <c r="AD52" s="841"/>
    </row>
    <row customHeight="1" ht="36">
      <c r="A53" s="840"/>
      <c r="B53" s="894">
        <v>36</v>
      </c>
      <c r="C53" s="838">
        <v>1</v>
      </c>
      <c r="D53" s="963"/>
      <c r="E53" s="838"/>
      <c r="F53" s="838"/>
      <c r="G53" s="838"/>
      <c r="H53" s="886"/>
      <c r="I53" s="1001" t="str">
        <f>INDEX(TEMPLATE_NUMBER_POINT_FHD,B53,MATCH(TEMPLATE_SPHERE,TEMPLATE_SPHERE_LIST_FOR_NOTE,0))</f>
        <v>3.1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3.1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645</v>
      </c>
      <c r="P53" s="953" t="s">
        <v>310</v>
      </c>
      <c r="Q53" s="953" t="s">
        <v>310</v>
      </c>
      <c r="R53" s="953" t="s">
        <v>310</v>
      </c>
      <c r="S53" s="953"/>
      <c r="T53" s="838" t="s">
        <v>2031</v>
      </c>
      <c r="U53" s="838" t="s">
        <v>2031</v>
      </c>
      <c r="V53" s="838" t="s">
        <v>2031</v>
      </c>
      <c r="W53" s="838" t="s">
        <v>2031</v>
      </c>
      <c r="X53" s="838"/>
      <c r="Y53" s="996"/>
      <c r="Z53" s="841"/>
      <c r="AA53" s="844"/>
      <c r="AB53" s="841"/>
      <c r="AC53" s="841"/>
      <c r="AD53" s="841"/>
    </row>
    <row customHeight="1" ht="18">
      <c r="A54" s="840"/>
      <c r="B54" s="894">
        <v>37</v>
      </c>
      <c r="C54" s="838" t="s">
        <v>1924</v>
      </c>
      <c r="D54" s="963" t="s">
        <v>1924</v>
      </c>
      <c r="E54" s="838" t="s">
        <v>1924</v>
      </c>
      <c r="F54" s="838" t="s">
        <v>1924</v>
      </c>
      <c r="G54" s="838"/>
      <c r="H54" s="886"/>
      <c r="I54" s="1001" t="str">
        <f>INDEX(TEMPLATE_NUMBER_POINT_FHD,B54,MATCH(TEMPLATE_SPHERE,TEMPLATE_SPHERE_LIST_FOR_NOTE,0))</f>
        <v>4</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4</v>
      </c>
      <c r="M54" s="839" t="str">
        <f>IF(J54=0,"",J54)</f>
        <v>Изменение стоимости основных фондов, в том числе:</v>
      </c>
      <c r="N54" s="839" t="str">
        <f>IF(K54=0,"",K54)</f>
        <v>Указывается общее изменение стоимости основных фондов.</v>
      </c>
      <c r="O54" s="953" t="s">
        <v>108</v>
      </c>
      <c r="P54" s="953" t="s">
        <v>87</v>
      </c>
      <c r="Q54" s="953" t="s">
        <v>87</v>
      </c>
      <c r="R54" s="953" t="s">
        <v>87</v>
      </c>
      <c r="S54" s="953"/>
      <c r="T54" s="838" t="s">
        <v>643</v>
      </c>
      <c r="U54" s="838" t="s">
        <v>643</v>
      </c>
      <c r="V54" s="838" t="s">
        <v>643</v>
      </c>
      <c r="W54" s="838" t="s">
        <v>643</v>
      </c>
      <c r="X54" s="838"/>
      <c r="Y54" s="996"/>
      <c r="Z54" s="841" t="s">
        <v>644</v>
      </c>
      <c r="AA54" s="841" t="s">
        <v>644</v>
      </c>
      <c r="AB54" s="841" t="s">
        <v>644</v>
      </c>
      <c r="AC54" s="841" t="s">
        <v>644</v>
      </c>
      <c r="AD54" s="841"/>
    </row>
    <row customHeight="1" ht="36">
      <c r="A55" s="840"/>
      <c r="B55" s="894">
        <v>38</v>
      </c>
      <c r="C55" s="838">
        <v>1</v>
      </c>
      <c r="D55" s="963"/>
      <c r="E55" s="838"/>
      <c r="F55" s="838"/>
      <c r="G55" s="838"/>
      <c r="H55" s="886"/>
      <c r="I55" s="1001" t="str">
        <f>INDEX(TEMPLATE_NUMBER_POINT_FHD,B55,MATCH(TEMPLATE_SPHERE,TEMPLATE_SPHERE_LIST_FOR_NOTE,0))</f>
        <v>4.1</v>
      </c>
      <c r="J55" s="1001" t="str">
        <f>INDEX(TEMPLATE_DATA_POINT_FHD,B55,MATCH(TEMPLATE_SPHERE,TEMPLATE_SPHERE_LIST_FOR_NOTE,0))</f>
        <v>Изменение стоимости основных фондов за счет их ввода в эксплуатацию (вывода из эксплуатации)</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4.1</v>
      </c>
      <c r="M55" s="839" t="str">
        <f>IF(J55=0,"",J55)</f>
        <v>Изменение стоимости основных фондов за счет их ввода в эксплуатацию (вывода из эксплуатации)</v>
      </c>
      <c r="N55" s="839" t="str">
        <f>IF(K55=0,"",K55)</f>
        <v>Указываются общее изменение стоимости основных фондов за счет их ввода в эксплуатацию и вывода из эксплуатации.</v>
      </c>
      <c r="O55" s="953" t="s">
        <v>299</v>
      </c>
      <c r="P55" s="953" t="s">
        <v>645</v>
      </c>
      <c r="Q55" s="953" t="s">
        <v>645</v>
      </c>
      <c r="R55" s="953" t="s">
        <v>645</v>
      </c>
      <c r="S55" s="953"/>
      <c r="T55" s="838" t="s">
        <v>2032</v>
      </c>
      <c r="U55" s="838" t="s">
        <v>2033</v>
      </c>
      <c r="V55" s="838" t="s">
        <v>2033</v>
      </c>
      <c r="W55" s="838" t="s">
        <v>2033</v>
      </c>
      <c r="X55" s="838"/>
      <c r="Y55" s="996"/>
      <c r="Z55" s="841" t="s">
        <v>2034</v>
      </c>
      <c r="AA55" s="841" t="s">
        <v>2034</v>
      </c>
      <c r="AB55" s="841" t="s">
        <v>2034</v>
      </c>
      <c r="AC55" s="841" t="s">
        <v>2034</v>
      </c>
      <c r="AD55" s="841"/>
    </row>
    <row customHeight="1" ht="27">
      <c r="A56" s="840"/>
      <c r="B56" s="894">
        <v>39</v>
      </c>
      <c r="C56" s="838" t="s">
        <v>914</v>
      </c>
      <c r="D56" s="963"/>
      <c r="E56" s="838"/>
      <c r="F56" s="838"/>
      <c r="G56" s="838"/>
      <c r="H56" s="886"/>
      <c r="I56" s="1001" t="str">
        <f>INDEX(TEMPLATE_NUMBER_POINT_FHD,B56,MATCH(TEMPLATE_SPHERE,TEMPLATE_SPHERE_LIST_FOR_NOTE,0))</f>
        <v>4.1.1</v>
      </c>
      <c r="J56" s="1001" t="str">
        <f>INDEX(TEMPLATE_DATA_POINT_FHD,B56,MATCH(TEMPLATE_SPHERE,TEMPLATE_SPHERE_LIST_FOR_NOTE,0))</f>
        <v>Изменение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4.1.1</v>
      </c>
      <c r="M56" s="839" t="str">
        <f>IF(J56=0,"",J56)</f>
        <v>Изменение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1034</v>
      </c>
      <c r="P56" s="953" t="s">
        <v>648</v>
      </c>
      <c r="Q56" s="953" t="s">
        <v>648</v>
      </c>
      <c r="R56" s="953" t="s">
        <v>648</v>
      </c>
      <c r="S56" s="953"/>
      <c r="T56" s="838" t="s">
        <v>2035</v>
      </c>
      <c r="U56" s="838" t="s">
        <v>2036</v>
      </c>
      <c r="V56" s="838" t="s">
        <v>2036</v>
      </c>
      <c r="W56" s="838" t="s">
        <v>2036</v>
      </c>
      <c r="X56" s="838"/>
      <c r="Y56" s="996"/>
      <c r="Z56" s="841" t="s">
        <v>650</v>
      </c>
      <c r="AA56" s="841" t="s">
        <v>650</v>
      </c>
      <c r="AB56" s="841" t="s">
        <v>650</v>
      </c>
      <c r="AC56" s="841" t="s">
        <v>650</v>
      </c>
      <c r="AD56" s="841"/>
    </row>
    <row customHeight="1" ht="27">
      <c r="A57" s="840"/>
      <c r="B57" s="894">
        <v>40</v>
      </c>
      <c r="C57" s="838" t="s">
        <v>916</v>
      </c>
      <c r="D57" s="963"/>
      <c r="E57" s="838"/>
      <c r="F57" s="838"/>
      <c r="G57" s="838"/>
      <c r="H57" s="886"/>
      <c r="I57" s="1001" t="str">
        <f>INDEX(TEMPLATE_NUMBER_POINT_FHD,B57,MATCH(TEMPLATE_SPHERE,TEMPLATE_SPHERE_LIST_FOR_NOTE,0))</f>
        <v>4.1.2</v>
      </c>
      <c r="J57" s="1001" t="str">
        <f>INDEX(TEMPLATE_DATA_POINT_FHD,B57,MATCH(TEMPLATE_SPHERE,TEMPLATE_SPHERE_LIST_FOR_NOTE,0))</f>
        <v>Изменение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4.1.2</v>
      </c>
      <c r="M57" s="839" t="str">
        <f>IF(J57=0,"",J57)</f>
        <v>Изменение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2037</v>
      </c>
      <c r="P57" s="953" t="s">
        <v>651</v>
      </c>
      <c r="Q57" s="953" t="s">
        <v>651</v>
      </c>
      <c r="R57" s="953" t="s">
        <v>651</v>
      </c>
      <c r="S57" s="953"/>
      <c r="T57" s="838" t="s">
        <v>2038</v>
      </c>
      <c r="U57" s="838" t="s">
        <v>2039</v>
      </c>
      <c r="V57" s="838" t="s">
        <v>2039</v>
      </c>
      <c r="W57" s="838" t="s">
        <v>2039</v>
      </c>
      <c r="X57" s="838"/>
      <c r="Y57" s="996"/>
      <c r="Z57" s="841" t="s">
        <v>653</v>
      </c>
      <c r="AA57" s="841" t="s">
        <v>653</v>
      </c>
      <c r="AB57" s="841" t="s">
        <v>653</v>
      </c>
      <c r="AC57" s="841" t="s">
        <v>653</v>
      </c>
      <c r="AD57" s="841"/>
    </row>
    <row customHeight="1" ht="18">
      <c r="A58" s="840"/>
      <c r="B58" s="894">
        <v>41</v>
      </c>
      <c r="C58" s="838">
        <v>2</v>
      </c>
      <c r="D58" s="963"/>
      <c r="E58" s="838"/>
      <c r="F58" s="838"/>
      <c r="G58" s="838"/>
      <c r="H58" s="886"/>
      <c r="I58" s="1001" t="str">
        <f>INDEX(TEMPLATE_NUMBER_POINT_FHD,B58,MATCH(TEMPLATE_SPHERE,TEMPLATE_SPHERE_LIST_FOR_NOTE,0))</f>
        <v>4.2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4.2</v>
      </c>
      <c r="M58" s="839" t="str">
        <f>IF(J58=0,"",J58)</f>
        <v>Изменение стоимости основных фондов за счет их переоценки</v>
      </c>
      <c r="N58" s="839" t="str">
        <f>IF(K58=0,"",K58)</f>
        <v/>
      </c>
      <c r="O58" s="953" t="s">
        <v>301</v>
      </c>
      <c r="P58" s="953" t="s">
        <v>688</v>
      </c>
      <c r="Q58" s="953" t="s">
        <v>688</v>
      </c>
      <c r="R58" s="953" t="s">
        <v>688</v>
      </c>
      <c r="S58" s="953"/>
      <c r="T58" s="838" t="s">
        <v>2040</v>
      </c>
      <c r="U58" s="838" t="s">
        <v>2040</v>
      </c>
      <c r="V58" s="838" t="s">
        <v>2040</v>
      </c>
      <c r="W58" s="838" t="s">
        <v>2040</v>
      </c>
      <c r="X58" s="838"/>
      <c r="Y58" s="996"/>
      <c r="Z58" s="841"/>
      <c r="AA58" s="844"/>
      <c r="AB58" s="841"/>
      <c r="AC58" s="841"/>
      <c r="AD58" s="841"/>
    </row>
    <row customHeight="1" ht="36">
      <c r="A59" s="840"/>
      <c r="B59" s="894">
        <v>42</v>
      </c>
      <c r="C59" s="838">
        <v>3</v>
      </c>
      <c r="D59" s="963" t="s">
        <v>2025</v>
      </c>
      <c r="E59" s="838" t="s">
        <v>2025</v>
      </c>
      <c r="F59" s="838" t="s">
        <v>2025</v>
      </c>
      <c r="G59" s="838"/>
      <c r="H59" s="886"/>
      <c r="I59" s="1001" t="str">
        <f>INDEX(TEMPLATE_NUMBER_POINT_FHD,B59,MATCH(TEMPLATE_SPHERE,TEMPLATE_SPHERE_LIST_FOR_NOTE,0))</f>
        <v>5</v>
      </c>
      <c r="J59" s="100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1">
        <f>INDEX(TEMPLATE_NOTE_POINT_FHD,B59,MATCH(TEMPLATE_SPHERE,TEMPLATE_SPHERE_LIST_FOR_NOTE,0))</f>
        <v>0</v>
      </c>
      <c r="L59" s="839" t="str">
        <f>IF(I59=0,"",I59)</f>
        <v>5</v>
      </c>
      <c r="M59" s="839" t="str">
        <f>IF(J59=0,"",J59)</f>
        <v>Валовая прибыль (убытки) от продажи товаров и услуг по регулируемым видам деятельности в сфере горячего водоснабжения</v>
      </c>
      <c r="N59" s="839" t="str">
        <f>IF(K59=0,"",K59)</f>
        <v/>
      </c>
      <c r="O59" s="953"/>
      <c r="P59" s="953" t="s">
        <v>108</v>
      </c>
      <c r="Q59" s="953" t="s">
        <v>108</v>
      </c>
      <c r="R59" s="953" t="s">
        <v>108</v>
      </c>
      <c r="S59" s="953"/>
      <c r="T59" s="838"/>
      <c r="U59" s="838" t="s">
        <v>2041</v>
      </c>
      <c r="V59" s="838" t="s">
        <v>2042</v>
      </c>
      <c r="W59" s="838" t="s">
        <v>2043</v>
      </c>
      <c r="X59" s="838"/>
      <c r="Y59" s="996"/>
      <c r="Z59" s="841"/>
      <c r="AA59" s="844"/>
      <c r="AB59" s="841"/>
      <c r="AC59" s="841"/>
      <c r="AD59" s="841"/>
    </row>
    <row customHeight="1" ht="81">
      <c r="A60" s="840"/>
      <c r="B60" s="894">
        <v>43</v>
      </c>
      <c r="C60" s="838" t="s">
        <v>2044</v>
      </c>
      <c r="D60" s="963" t="s">
        <v>2044</v>
      </c>
      <c r="E60" s="838" t="s">
        <v>2044</v>
      </c>
      <c r="F60" s="838" t="s">
        <v>2044</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3" t="s">
        <v>88</v>
      </c>
      <c r="P60" s="953" t="s">
        <v>88</v>
      </c>
      <c r="Q60" s="953" t="s">
        <v>88</v>
      </c>
      <c r="R60" s="953" t="s">
        <v>88</v>
      </c>
      <c r="S60" s="953"/>
      <c r="T60" s="838" t="s">
        <v>657</v>
      </c>
      <c r="U60" s="838" t="s">
        <v>657</v>
      </c>
      <c r="V60" s="838" t="s">
        <v>657</v>
      </c>
      <c r="W60" s="838" t="s">
        <v>657</v>
      </c>
      <c r="X60" s="838"/>
      <c r="Y60" s="996"/>
      <c r="Z60" s="841" t="s">
        <v>2045</v>
      </c>
      <c r="AA60" s="844" t="s">
        <v>2046</v>
      </c>
      <c r="AB60" s="841" t="s">
        <v>2047</v>
      </c>
      <c r="AC60" s="841" t="s">
        <v>2046</v>
      </c>
      <c r="AD60" s="841"/>
    </row>
    <row customHeight="1" ht="9">
      <c r="A61" s="840"/>
      <c r="B61" s="894">
        <v>44</v>
      </c>
      <c r="C61" s="838"/>
      <c r="D61" s="963" t="s">
        <v>2048</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89</v>
      </c>
      <c r="Q61" s="953"/>
      <c r="R61" s="953"/>
      <c r="S61" s="953"/>
      <c r="T61" s="838"/>
      <c r="U61" s="838" t="s">
        <v>2049</v>
      </c>
      <c r="V61" s="838"/>
      <c r="W61" s="838"/>
      <c r="X61" s="838"/>
      <c r="Y61" s="996"/>
      <c r="Z61" s="841"/>
      <c r="AA61" s="844"/>
      <c r="AB61" s="841"/>
      <c r="AC61" s="841"/>
      <c r="AD61" s="841"/>
    </row>
    <row customHeight="1" ht="9">
      <c r="A62" s="840"/>
      <c r="B62" s="894">
        <v>45</v>
      </c>
      <c r="C62" s="838"/>
      <c r="D62" s="963" t="s">
        <v>2050</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109</v>
      </c>
      <c r="Q62" s="953"/>
      <c r="R62" s="953"/>
      <c r="S62" s="953"/>
      <c r="T62" s="838"/>
      <c r="U62" s="838" t="s">
        <v>2051</v>
      </c>
      <c r="V62" s="838"/>
      <c r="W62" s="838"/>
      <c r="X62" s="838"/>
      <c r="Y62" s="996"/>
      <c r="Z62" s="841"/>
      <c r="AA62" s="844"/>
      <c r="AB62" s="841"/>
      <c r="AC62" s="841"/>
      <c r="AD62" s="841"/>
    </row>
    <row customHeight="1" ht="18">
      <c r="A63" s="840"/>
      <c r="B63" s="894">
        <v>46</v>
      </c>
      <c r="C63" s="838"/>
      <c r="D63" s="963" t="s">
        <v>2052</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146</v>
      </c>
      <c r="Q63" s="953"/>
      <c r="R63" s="953"/>
      <c r="S63" s="953"/>
      <c r="T63" s="838"/>
      <c r="U63" s="838" t="s">
        <v>2053</v>
      </c>
      <c r="V63" s="838"/>
      <c r="W63" s="838"/>
      <c r="X63" s="838"/>
      <c r="Y63" s="996"/>
      <c r="Z63" s="841"/>
      <c r="AA63" s="844"/>
      <c r="AB63" s="841"/>
      <c r="AC63" s="841"/>
      <c r="AD63" s="841"/>
    </row>
    <row customHeight="1" ht="18">
      <c r="A64" s="840"/>
      <c r="B64" s="894">
        <v>47</v>
      </c>
      <c r="C64" s="838"/>
      <c r="D64" s="963" t="s">
        <v>2054</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147</v>
      </c>
      <c r="Q64" s="953"/>
      <c r="R64" s="953"/>
      <c r="S64" s="953"/>
      <c r="T64" s="838"/>
      <c r="U64" s="838" t="s">
        <v>2055</v>
      </c>
      <c r="V64" s="838"/>
      <c r="W64" s="838"/>
      <c r="X64" s="838"/>
      <c r="Y64" s="996"/>
      <c r="Z64" s="841"/>
      <c r="AA64" s="844" t="s">
        <v>2056</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1966</v>
      </c>
      <c r="Q65" s="953"/>
      <c r="R65" s="953"/>
      <c r="S65" s="953"/>
      <c r="T65" s="838"/>
      <c r="U65" s="838" t="s">
        <v>2057</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1970</v>
      </c>
      <c r="Q66" s="953"/>
      <c r="R66" s="953"/>
      <c r="S66" s="953"/>
      <c r="T66" s="838"/>
      <c r="U66" s="838" t="s">
        <v>2058</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2059</v>
      </c>
      <c r="Q67" s="953"/>
      <c r="R67" s="953"/>
      <c r="S67" s="953"/>
      <c r="T67" s="838"/>
      <c r="U67" s="838" t="s">
        <v>2060</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2061</v>
      </c>
      <c r="Q68" s="953"/>
      <c r="R68" s="953"/>
      <c r="S68" s="953"/>
      <c r="T68" s="838"/>
      <c r="U68" s="838" t="s">
        <v>2062</v>
      </c>
      <c r="V68" s="838"/>
      <c r="W68" s="838"/>
      <c r="X68" s="838"/>
      <c r="Y68" s="996"/>
      <c r="Z68" s="841"/>
      <c r="AA68" s="844"/>
      <c r="AB68" s="841"/>
      <c r="AC68" s="841"/>
      <c r="AD68" s="841"/>
    </row>
    <row customHeight="1" ht="9">
      <c r="A69" s="840"/>
      <c r="B69" s="894">
        <v>52</v>
      </c>
      <c r="C69" s="838"/>
      <c r="D69" s="963" t="s">
        <v>2063</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148</v>
      </c>
      <c r="Q69" s="953"/>
      <c r="R69" s="953"/>
      <c r="S69" s="953"/>
      <c r="T69" s="838"/>
      <c r="U69" s="838" t="s">
        <v>2064</v>
      </c>
      <c r="V69" s="838"/>
      <c r="W69" s="838"/>
      <c r="X69" s="838"/>
      <c r="Y69" s="996"/>
      <c r="Z69" s="841"/>
      <c r="AA69" s="844"/>
      <c r="AB69" s="841"/>
      <c r="AC69" s="841"/>
      <c r="AD69" s="841"/>
    </row>
    <row customHeight="1" ht="27">
      <c r="A70" s="840"/>
      <c r="B70" s="894">
        <v>53</v>
      </c>
      <c r="C70" s="838"/>
      <c r="D70" s="963"/>
      <c r="E70" s="838" t="s">
        <v>2048</v>
      </c>
      <c r="F70" s="838"/>
      <c r="G70" s="838"/>
      <c r="H70" s="886"/>
      <c r="I70" s="1001" t="str">
        <f>INDEX(TEMPLATE_NUMBER_POINT_FHD,B70,MATCH(TEMPLATE_SPHERE,TEMPLATE_SPHERE_LIST_FOR_NOTE,0))</f>
        <v>7</v>
      </c>
      <c r="J70" s="1001" t="str">
        <f>INDEX(TEMPLATE_DATA_POINT_FHD,B70,MATCH(TEMPLATE_SPHERE,TEMPLATE_SPHERE_LIST_FOR_NOTE,0))</f>
        <v>Объём приобретаемой холодной воды, используемой для горячего водоснабжения</v>
      </c>
      <c r="K70" s="1001">
        <f>INDEX(TEMPLATE_NOTE_POINT_FHD,B70,MATCH(TEMPLATE_SPHERE,TEMPLATE_SPHERE_LIST_FOR_NOTE,0))</f>
        <v>0</v>
      </c>
      <c r="L70" s="839" t="str">
        <f>IF(I70=0,"",I70)</f>
        <v>7</v>
      </c>
      <c r="M70" s="839" t="str">
        <f>IF(J70=0,"",J70)</f>
        <v>Объём приобретаемой холодной воды, используемой для горячего водоснабжения</v>
      </c>
      <c r="N70" s="839" t="str">
        <f>IF(K70=0,"",K70)</f>
        <v/>
      </c>
      <c r="O70" s="953"/>
      <c r="P70" s="953"/>
      <c r="Q70" s="953" t="s">
        <v>89</v>
      </c>
      <c r="R70" s="953"/>
      <c r="S70" s="953"/>
      <c r="T70" s="838"/>
      <c r="U70" s="838"/>
      <c r="V70" s="838" t="s">
        <v>2065</v>
      </c>
      <c r="W70" s="838"/>
      <c r="X70" s="838"/>
      <c r="Y70" s="996"/>
      <c r="Z70" s="841"/>
      <c r="AA70" s="844"/>
      <c r="AB70" s="841"/>
      <c r="AC70" s="841"/>
      <c r="AD70" s="841"/>
    </row>
    <row customHeight="1" ht="36">
      <c r="A71" s="840"/>
      <c r="B71" s="894">
        <v>54</v>
      </c>
      <c r="C71" s="838"/>
      <c r="D71" s="963"/>
      <c r="E71" s="838" t="s">
        <v>2050</v>
      </c>
      <c r="F71" s="838"/>
      <c r="G71" s="838"/>
      <c r="H71" s="886"/>
      <c r="I71" s="1001" t="str">
        <f>INDEX(TEMPLATE_NUMBER_POINT_FHD,B71,MATCH(TEMPLATE_SPHERE,TEMPLATE_SPHERE_LIST_FOR_NOTE,0))</f>
        <v>8</v>
      </c>
      <c r="J71" s="100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1">
        <f>INDEX(TEMPLATE_NOTE_POINT_FHD,B71,MATCH(TEMPLATE_SPHERE,TEMPLATE_SPHERE_LIST_FOR_NOTE,0))</f>
        <v>0</v>
      </c>
      <c r="L71" s="839" t="str">
        <f>IF(I71=0,"",I71)</f>
        <v>8</v>
      </c>
      <c r="M71" s="839" t="str">
        <f>IF(J71=0,"",J71)</f>
        <v>Объём холодной воды, получаемой с применением собственных источников водозабора (скважин) и используемой для горячего водоснабжения</v>
      </c>
      <c r="N71" s="839" t="str">
        <f>IF(K71=0,"",K71)</f>
        <v/>
      </c>
      <c r="O71" s="953"/>
      <c r="P71" s="953"/>
      <c r="Q71" s="953" t="s">
        <v>109</v>
      </c>
      <c r="R71" s="953"/>
      <c r="S71" s="953"/>
      <c r="T71" s="838"/>
      <c r="U71" s="838"/>
      <c r="V71" s="838" t="s">
        <v>2066</v>
      </c>
      <c r="W71" s="838"/>
      <c r="X71" s="838"/>
      <c r="Y71" s="996"/>
      <c r="Z71" s="841"/>
      <c r="AA71" s="844"/>
      <c r="AB71" s="841"/>
      <c r="AC71" s="841"/>
      <c r="AD71" s="841"/>
    </row>
    <row customHeight="1" ht="27">
      <c r="A72" s="840"/>
      <c r="B72" s="894">
        <v>55</v>
      </c>
      <c r="C72" s="838"/>
      <c r="D72" s="963"/>
      <c r="E72" s="838" t="s">
        <v>2052</v>
      </c>
      <c r="F72" s="838"/>
      <c r="G72" s="838"/>
      <c r="H72" s="886"/>
      <c r="I72" s="1001" t="str">
        <f>INDEX(TEMPLATE_NUMBER_POINT_FHD,B72,MATCH(TEMPLATE_SPHERE,TEMPLATE_SPHERE_LIST_FOR_NOTE,0))</f>
        <v>9</v>
      </c>
      <c r="J72" s="1001" t="str">
        <f>INDEX(TEMPLATE_DATA_POINT_FHD,B72,MATCH(TEMPLATE_SPHERE,TEMPLATE_SPHERE_LIST_FOR_NOTE,0))</f>
        <v>Объём приобретаемой тепловой энергии (мощности), используемой для горячего водоснабжения</v>
      </c>
      <c r="K72" s="1001">
        <f>INDEX(TEMPLATE_NOTE_POINT_FHD,B72,MATCH(TEMPLATE_SPHERE,TEMPLATE_SPHERE_LIST_FOR_NOTE,0))</f>
        <v>0</v>
      </c>
      <c r="L72" s="839" t="str">
        <f>IF(I72=0,"",I72)</f>
        <v>9</v>
      </c>
      <c r="M72" s="839" t="str">
        <f>IF(J72=0,"",J72)</f>
        <v>Объём приобретаемой тепловой энергии (мощности), используемой для горячего водоснабжения</v>
      </c>
      <c r="N72" s="839" t="str">
        <f>IF(K72=0,"",K72)</f>
        <v/>
      </c>
      <c r="O72" s="953"/>
      <c r="P72" s="953"/>
      <c r="Q72" s="953" t="s">
        <v>146</v>
      </c>
      <c r="R72" s="953"/>
      <c r="S72" s="953"/>
      <c r="T72" s="838"/>
      <c r="U72" s="838"/>
      <c r="V72" s="838" t="s">
        <v>2067</v>
      </c>
      <c r="W72" s="838"/>
      <c r="X72" s="838"/>
      <c r="Y72" s="996"/>
      <c r="Z72" s="841"/>
      <c r="AA72" s="844"/>
      <c r="AB72" s="841"/>
      <c r="AC72" s="841"/>
      <c r="AD72" s="841"/>
    </row>
    <row customHeight="1" ht="36">
      <c r="A73" s="840"/>
      <c r="B73" s="894">
        <v>56</v>
      </c>
      <c r="C73" s="838"/>
      <c r="D73" s="963"/>
      <c r="E73" s="838" t="s">
        <v>2054</v>
      </c>
      <c r="F73" s="838"/>
      <c r="G73" s="838"/>
      <c r="H73" s="886"/>
      <c r="I73" s="1001" t="str">
        <f>INDEX(TEMPLATE_NUMBER_POINT_FHD,B73,MATCH(TEMPLATE_SPHERE,TEMPLATE_SPHERE_LIST_FOR_NOTE,0))</f>
        <v>10</v>
      </c>
      <c r="J73" s="100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1">
        <f>INDEX(TEMPLATE_NOTE_POINT_FHD,B73,MATCH(TEMPLATE_SPHERE,TEMPLATE_SPHERE_LIST_FOR_NOTE,0))</f>
        <v>0</v>
      </c>
      <c r="L73" s="839" t="str">
        <f>IF(I73=0,"",I73)</f>
        <v>10</v>
      </c>
      <c r="M73" s="839" t="str">
        <f>IF(J73=0,"",J73)</f>
        <v>Объём тепловой энергии, производимой с применением собственных источников и используемой для горячего водоснабжения</v>
      </c>
      <c r="N73" s="839" t="str">
        <f>IF(K73=0,"",K73)</f>
        <v/>
      </c>
      <c r="O73" s="953"/>
      <c r="P73" s="953"/>
      <c r="Q73" s="953" t="s">
        <v>147</v>
      </c>
      <c r="R73" s="953"/>
      <c r="S73" s="953"/>
      <c r="T73" s="838"/>
      <c r="U73" s="838"/>
      <c r="V73" s="838" t="s">
        <v>2068</v>
      </c>
      <c r="W73" s="838"/>
      <c r="X73" s="838"/>
      <c r="Y73" s="996"/>
      <c r="Z73" s="841"/>
      <c r="AA73" s="844"/>
      <c r="AB73" s="841"/>
      <c r="AC73" s="841"/>
      <c r="AD73" s="841"/>
    </row>
    <row customHeight="1" ht="18">
      <c r="A74" s="840"/>
      <c r="B74" s="894">
        <v>57</v>
      </c>
      <c r="C74" s="838"/>
      <c r="D74" s="963"/>
      <c r="E74" s="838" t="s">
        <v>2063</v>
      </c>
      <c r="F74" s="838"/>
      <c r="G74" s="838"/>
      <c r="H74" s="886"/>
      <c r="I74" s="1001" t="str">
        <f>INDEX(TEMPLATE_NUMBER_POINT_FHD,B74,MATCH(TEMPLATE_SPHERE,TEMPLATE_SPHERE_LIST_FOR_NOTE,0))</f>
        <v>11</v>
      </c>
      <c r="J74" s="1001" t="str">
        <f>INDEX(TEMPLATE_DATA_POINT_FHD,B74,MATCH(TEMPLATE_SPHERE,TEMPLATE_SPHERE_LIST_FOR_NOTE,0))</f>
        <v>Потери горячей воды в сетях (процентов)</v>
      </c>
      <c r="K74" s="1001">
        <f>INDEX(TEMPLATE_NOTE_POINT_FHD,B74,MATCH(TEMPLATE_SPHERE,TEMPLATE_SPHERE_LIST_FOR_NOTE,0))</f>
        <v>0</v>
      </c>
      <c r="L74" s="839" t="str">
        <f>IF(I74=0,"",I74)</f>
        <v>11</v>
      </c>
      <c r="M74" s="839" t="str">
        <f>IF(J74=0,"",J74)</f>
        <v>Потери горячей воды в сетях (процентов)</v>
      </c>
      <c r="N74" s="839" t="str">
        <f>IF(K74=0,"",K74)</f>
        <v/>
      </c>
      <c r="O74" s="953"/>
      <c r="P74" s="953"/>
      <c r="Q74" s="953" t="s">
        <v>148</v>
      </c>
      <c r="R74" s="953"/>
      <c r="S74" s="953"/>
      <c r="T74" s="838"/>
      <c r="U74" s="838"/>
      <c r="V74" s="838" t="s">
        <v>2069</v>
      </c>
      <c r="W74" s="838"/>
      <c r="X74" s="838"/>
      <c r="Y74" s="996"/>
      <c r="Z74" s="841"/>
      <c r="AA74" s="844"/>
      <c r="AB74" s="841"/>
      <c r="AC74" s="841"/>
      <c r="AD74" s="841"/>
    </row>
    <row customHeight="1" ht="18">
      <c r="A75" s="840"/>
      <c r="B75" s="894">
        <v>58</v>
      </c>
      <c r="C75" s="838"/>
      <c r="D75" s="963"/>
      <c r="E75" s="838"/>
      <c r="F75" s="838" t="s">
        <v>2048</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89</v>
      </c>
      <c r="S75" s="953"/>
      <c r="T75" s="838"/>
      <c r="U75" s="838"/>
      <c r="V75" s="838"/>
      <c r="W75" s="838" t="s">
        <v>2070</v>
      </c>
      <c r="X75" s="838"/>
      <c r="Y75" s="996"/>
      <c r="Z75" s="841"/>
      <c r="AA75" s="844"/>
      <c r="AB75" s="841"/>
      <c r="AC75" s="841"/>
      <c r="AD75" s="841"/>
    </row>
    <row customHeight="1" ht="36">
      <c r="A76" s="840"/>
      <c r="B76" s="894">
        <v>59</v>
      </c>
      <c r="C76" s="838"/>
      <c r="D76" s="963"/>
      <c r="E76" s="838"/>
      <c r="F76" s="838" t="s">
        <v>2050</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109</v>
      </c>
      <c r="S76" s="953"/>
      <c r="T76" s="838"/>
      <c r="U76" s="838"/>
      <c r="V76" s="838"/>
      <c r="W76" s="838" t="s">
        <v>2071</v>
      </c>
      <c r="X76" s="838"/>
      <c r="Y76" s="996"/>
      <c r="Z76" s="841"/>
      <c r="AA76" s="844"/>
      <c r="AB76" s="841"/>
      <c r="AC76" s="841"/>
      <c r="AD76" s="841"/>
    </row>
    <row customHeight="1" ht="18">
      <c r="A77" s="840"/>
      <c r="B77" s="894">
        <v>60</v>
      </c>
      <c r="C77" s="838"/>
      <c r="D77" s="963"/>
      <c r="E77" s="838"/>
      <c r="F77" s="838" t="s">
        <v>2052</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146</v>
      </c>
      <c r="S77" s="953"/>
      <c r="T77" s="838"/>
      <c r="U77" s="838"/>
      <c r="V77" s="838"/>
      <c r="W77" s="838" t="s">
        <v>2072</v>
      </c>
      <c r="X77" s="838"/>
      <c r="Y77" s="996"/>
      <c r="Z77" s="841"/>
      <c r="AA77" s="844"/>
      <c r="AB77" s="841"/>
      <c r="AC77" s="841"/>
      <c r="AD77" s="841"/>
    </row>
    <row customHeight="1" ht="72">
      <c r="A78" s="840"/>
      <c r="B78" s="894">
        <v>61</v>
      </c>
      <c r="C78" s="838" t="s">
        <v>2048</v>
      </c>
      <c r="D78" s="963"/>
      <c r="E78" s="838"/>
      <c r="F78" s="838"/>
      <c r="G78" s="838"/>
      <c r="H78" s="886"/>
      <c r="I78" s="1001">
        <f>INDEX(TEMPLATE_NUMBER_POINT_FHD,B78,MATCH(TEMPLATE_SPHERE,TEMPLATE_SPHERE_LIST_FOR_NOTE,0))</f>
        <v>0</v>
      </c>
      <c r="J78" s="1001">
        <f>INDEX(TEMPLATE_DATA_POINT_FHD,B78,MATCH(TEMPLATE_SPHERE,TEMPLATE_SPHERE_LIST_FOR_NOTE,0))</f>
        <v>0</v>
      </c>
      <c r="K78" s="1001">
        <f>INDEX(TEMPLATE_NOTE_POINT_FHD,B78,MATCH(TEMPLATE_SPHERE,TEMPLATE_SPHERE_LIST_FOR_NOTE,0))</f>
        <v>0</v>
      </c>
      <c r="L78" s="839" t="str">
        <f>IF(I78=0,"",I78)</f>
        <v/>
      </c>
      <c r="M78" s="839" t="str">
        <f>IF(J78=0,"",J78)</f>
        <v/>
      </c>
      <c r="N78" s="839" t="str">
        <f>IF(K78=0,"",K78)</f>
        <v/>
      </c>
      <c r="O78" s="953" t="s">
        <v>89</v>
      </c>
      <c r="P78" s="953"/>
      <c r="Q78" s="953"/>
      <c r="R78" s="953"/>
      <c r="S78" s="953"/>
      <c r="T78" s="838" t="s">
        <v>2073</v>
      </c>
      <c r="U78" s="838"/>
      <c r="V78" s="838"/>
      <c r="W78" s="838"/>
      <c r="X78" s="838"/>
      <c r="Y78" s="996"/>
      <c r="Z78" s="841" t="s">
        <v>2074</v>
      </c>
      <c r="AA78" s="844"/>
      <c r="AB78" s="841"/>
      <c r="AC78" s="841"/>
      <c r="AD78" s="841"/>
    </row>
    <row customHeight="1" ht="36">
      <c r="A79" s="840"/>
      <c r="B79" s="894">
        <v>62</v>
      </c>
      <c r="C79" s="838" t="s">
        <v>2050</v>
      </c>
      <c r="D79" s="963"/>
      <c r="E79" s="838"/>
      <c r="F79" s="838"/>
      <c r="G79" s="838"/>
      <c r="H79" s="886"/>
      <c r="I79" s="1001">
        <f>INDEX(TEMPLATE_NUMBER_POINT_FHD,B79,MATCH(TEMPLATE_SPHERE,TEMPLATE_SPHERE_LIST_FOR_NOTE,0))</f>
        <v>0</v>
      </c>
      <c r="J79" s="1001">
        <f>INDEX(TEMPLATE_DATA_POINT_FHD,B79,MATCH(TEMPLATE_SPHERE,TEMPLATE_SPHERE_LIST_FOR_NOTE,0))</f>
        <v>0</v>
      </c>
      <c r="K79" s="1001">
        <f>INDEX(TEMPLATE_NOTE_POINT_FHD,B79,MATCH(TEMPLATE_SPHERE,TEMPLATE_SPHERE_LIST_FOR_NOTE,0))</f>
        <v>0</v>
      </c>
      <c r="L79" s="839" t="str">
        <f>IF(I79=0,"",I79)</f>
        <v/>
      </c>
      <c r="M79" s="839" t="str">
        <f>IF(J79=0,"",J79)</f>
        <v/>
      </c>
      <c r="N79" s="839" t="str">
        <f>IF(K79=0,"",K79)</f>
        <v/>
      </c>
      <c r="O79" s="953" t="s">
        <v>109</v>
      </c>
      <c r="P79" s="953"/>
      <c r="Q79" s="953"/>
      <c r="R79" s="953"/>
      <c r="S79" s="953"/>
      <c r="T79" s="838" t="s">
        <v>2075</v>
      </c>
      <c r="U79" s="838"/>
      <c r="V79" s="838"/>
      <c r="W79" s="838"/>
      <c r="X79" s="838"/>
      <c r="Y79" s="996"/>
      <c r="Z79" s="841" t="s">
        <v>2076</v>
      </c>
      <c r="AA79" s="844"/>
      <c r="AB79" s="841"/>
      <c r="AC79" s="841"/>
      <c r="AD79" s="841"/>
    </row>
    <row customHeight="1" ht="45">
      <c r="A80" s="840"/>
      <c r="B80" s="894">
        <v>63</v>
      </c>
      <c r="C80" s="838" t="s">
        <v>2052</v>
      </c>
      <c r="D80" s="963"/>
      <c r="E80" s="838"/>
      <c r="F80" s="838"/>
      <c r="G80" s="838"/>
      <c r="H80" s="886"/>
      <c r="I80" s="1001">
        <f>INDEX(TEMPLATE_NUMBER_POINT_FHD,B80,MATCH(TEMPLATE_SPHERE,TEMPLATE_SPHERE_LIST_FOR_NOTE,0))</f>
        <v>0</v>
      </c>
      <c r="J80" s="1001">
        <f>INDEX(TEMPLATE_DATA_POINT_FHD,B80,MATCH(TEMPLATE_SPHERE,TEMPLATE_SPHERE_LIST_FOR_NOTE,0))</f>
        <v>0</v>
      </c>
      <c r="K80" s="1001">
        <f>INDEX(TEMPLATE_NOTE_POINT_FHD,B80,MATCH(TEMPLATE_SPHERE,TEMPLATE_SPHERE_LIST_FOR_NOTE,0))</f>
        <v>0</v>
      </c>
      <c r="L80" s="839" t="str">
        <f>IF(I80=0,"",I80)</f>
        <v/>
      </c>
      <c r="M80" s="839" t="str">
        <f>IF(J80=0,"",J80)</f>
        <v/>
      </c>
      <c r="N80" s="839" t="str">
        <f>IF(K80=0,"",K80)</f>
        <v/>
      </c>
      <c r="O80" s="953" t="s">
        <v>146</v>
      </c>
      <c r="P80" s="953"/>
      <c r="Q80" s="953"/>
      <c r="R80" s="953"/>
      <c r="S80" s="953"/>
      <c r="T80" s="838" t="s">
        <v>2077</v>
      </c>
      <c r="U80" s="838"/>
      <c r="V80" s="838"/>
      <c r="W80" s="838"/>
      <c r="X80" s="838"/>
      <c r="Y80" s="996"/>
      <c r="Z80" s="841" t="s">
        <v>2078</v>
      </c>
      <c r="AA80" s="844"/>
      <c r="AB80" s="841"/>
      <c r="AC80" s="841"/>
      <c r="AD80" s="841"/>
    </row>
    <row customHeight="1" ht="36">
      <c r="A81" s="840"/>
      <c r="B81" s="894">
        <v>64</v>
      </c>
      <c r="C81" s="838" t="s">
        <v>2054</v>
      </c>
      <c r="D81" s="963"/>
      <c r="E81" s="838"/>
      <c r="F81" s="838"/>
      <c r="G81" s="838"/>
      <c r="H81" s="886"/>
      <c r="I81" s="1001">
        <f>INDEX(TEMPLATE_NUMBER_POINT_FHD,B81,MATCH(TEMPLATE_SPHERE,TEMPLATE_SPHERE_LIST_FOR_NOTE,0))</f>
        <v>0</v>
      </c>
      <c r="J81" s="1001">
        <f>INDEX(TEMPLATE_DATA_POINT_FHD,B81,MATCH(TEMPLATE_SPHERE,TEMPLATE_SPHERE_LIST_FOR_NOTE,0))</f>
        <v>0</v>
      </c>
      <c r="K81" s="1001">
        <f>INDEX(TEMPLATE_NOTE_POINT_FHD,B81,MATCH(TEMPLATE_SPHERE,TEMPLATE_SPHERE_LIST_FOR_NOTE,0))</f>
        <v>0</v>
      </c>
      <c r="L81" s="839" t="str">
        <f>IF(I81=0,"",I81)</f>
        <v/>
      </c>
      <c r="M81" s="839" t="str">
        <f>IF(J81=0,"",J81)</f>
        <v/>
      </c>
      <c r="N81" s="839" t="str">
        <f>IF(K81=0,"",K81)</f>
        <v/>
      </c>
      <c r="O81" s="953" t="s">
        <v>1957</v>
      </c>
      <c r="P81" s="953"/>
      <c r="Q81" s="953"/>
      <c r="R81" s="953"/>
      <c r="S81" s="953"/>
      <c r="T81" s="838" t="s">
        <v>2079</v>
      </c>
      <c r="U81" s="838"/>
      <c r="V81" s="838"/>
      <c r="W81" s="838"/>
      <c r="X81" s="838"/>
      <c r="Y81" s="996"/>
      <c r="Z81" s="841" t="s">
        <v>2080</v>
      </c>
      <c r="AA81" s="844"/>
      <c r="AB81" s="841"/>
      <c r="AC81" s="841"/>
      <c r="AD81" s="841"/>
    </row>
    <row customHeight="1" ht="90">
      <c r="A82" s="840"/>
      <c r="B82" s="894">
        <v>65</v>
      </c>
      <c r="C82" s="838" t="s">
        <v>2063</v>
      </c>
      <c r="D82" s="963"/>
      <c r="E82" s="838"/>
      <c r="F82" s="838"/>
      <c r="G82" s="838"/>
      <c r="H82" s="886"/>
      <c r="I82" s="1001">
        <f>INDEX(TEMPLATE_NUMBER_POINT_FHD,B82,MATCH(TEMPLATE_SPHERE,TEMPLATE_SPHERE_LIST_FOR_NOTE,0))</f>
        <v>0</v>
      </c>
      <c r="J82" s="1001">
        <f>INDEX(TEMPLATE_DATA_POINT_FHD,B82,MATCH(TEMPLATE_SPHERE,TEMPLATE_SPHERE_LIST_FOR_NOTE,0))</f>
        <v>0</v>
      </c>
      <c r="K82" s="1001">
        <f>INDEX(TEMPLATE_NOTE_POINT_FHD,B82,MATCH(TEMPLATE_SPHERE,TEMPLATE_SPHERE_LIST_FOR_NOTE,0))</f>
        <v>0</v>
      </c>
      <c r="L82" s="839" t="str">
        <f>IF(I82=0,"",I82)</f>
        <v/>
      </c>
      <c r="M82" s="839" t="str">
        <f>IF(J82=0,"",J82)</f>
        <v/>
      </c>
      <c r="N82" s="839" t="str">
        <f>IF(K82=0,"",K82)</f>
        <v/>
      </c>
      <c r="O82" s="953" t="s">
        <v>147</v>
      </c>
      <c r="P82" s="953"/>
      <c r="Q82" s="953"/>
      <c r="R82" s="953"/>
      <c r="S82" s="953"/>
      <c r="T82" s="838" t="s">
        <v>2081</v>
      </c>
      <c r="U82" s="838"/>
      <c r="V82" s="838"/>
      <c r="W82" s="838"/>
      <c r="X82" s="838"/>
      <c r="Y82" s="996"/>
      <c r="Z82" s="841" t="s">
        <v>2082</v>
      </c>
      <c r="AA82" s="844"/>
      <c r="AB82" s="841"/>
      <c r="AC82" s="841"/>
      <c r="AD82" s="841"/>
    </row>
    <row customHeight="1" ht="9">
      <c r="A83" s="840"/>
      <c r="B83" s="894">
        <v>66</v>
      </c>
      <c r="C83" s="838"/>
      <c r="D83" s="963"/>
      <c r="E83" s="838"/>
      <c r="F83" s="838"/>
      <c r="G83" s="838"/>
      <c r="H83" s="886"/>
      <c r="I83" s="1001">
        <f>INDEX(TEMPLATE_NUMBER_POINT_FHD,B83,MATCH(TEMPLATE_SPHERE,TEMPLATE_SPHERE_LIST_FOR_NOTE,0))</f>
        <v>0</v>
      </c>
      <c r="J83" s="1001">
        <f>INDEX(TEMPLATE_DATA_POINT_FHD,B83,MATCH(TEMPLATE_SPHERE,TEMPLATE_SPHERE_LIST_FOR_NOTE,0))</f>
        <v>0</v>
      </c>
      <c r="K83" s="1001">
        <f>INDEX(TEMPLATE_NOTE_POINT_FHD,B83,MATCH(TEMPLATE_SPHERE,TEMPLATE_SPHERE_LIST_FOR_NOTE,0))</f>
        <v>0</v>
      </c>
      <c r="L83" s="839" t="str">
        <f>IF(I83=0,"",I83)</f>
        <v/>
      </c>
      <c r="M83" s="839" t="str">
        <f>IF(J83=0,"",J83)</f>
        <v/>
      </c>
      <c r="N83" s="839" t="str">
        <f>IF(K83=0,"",K83)</f>
        <v/>
      </c>
      <c r="O83" s="953" t="s">
        <v>1966</v>
      </c>
      <c r="P83" s="953"/>
      <c r="Q83" s="953"/>
      <c r="R83" s="953"/>
      <c r="S83" s="953"/>
      <c r="T83" s="838" t="s">
        <v>2083</v>
      </c>
      <c r="U83" s="838"/>
      <c r="V83" s="838"/>
      <c r="W83" s="838"/>
      <c r="X83" s="838"/>
      <c r="Y83" s="996"/>
      <c r="Z83" s="841"/>
      <c r="AA83" s="844"/>
      <c r="AB83" s="841"/>
      <c r="AC83" s="841"/>
      <c r="AD83" s="841"/>
    </row>
    <row customHeight="1" ht="54">
      <c r="A84" s="840"/>
      <c r="B84" s="894">
        <v>67</v>
      </c>
      <c r="C84" s="838"/>
      <c r="D84" s="963"/>
      <c r="E84" s="838"/>
      <c r="F84" s="838"/>
      <c r="G84" s="838"/>
      <c r="H84" s="886"/>
      <c r="I84" s="1001">
        <f>INDEX(TEMPLATE_NUMBER_POINT_FHD,B84,MATCH(TEMPLATE_SPHERE,TEMPLATE_SPHERE_LIST_FOR_NOTE,0))</f>
        <v>0</v>
      </c>
      <c r="J84" s="1001">
        <f>INDEX(TEMPLATE_DATA_POINT_FHD,B84,MATCH(TEMPLATE_SPHERE,TEMPLATE_SPHERE_LIST_FOR_NOTE,0))</f>
        <v>0</v>
      </c>
      <c r="K84" s="1001">
        <f>INDEX(TEMPLATE_NOTE_POINT_FHD,B84,MATCH(TEMPLATE_SPHERE,TEMPLATE_SPHERE_LIST_FOR_NOTE,0))</f>
        <v>0</v>
      </c>
      <c r="L84" s="839" t="str">
        <f>IF(I84=0,"",I84)</f>
        <v/>
      </c>
      <c r="M84" s="839" t="str">
        <f>IF(J84=0,"",J84)</f>
        <v/>
      </c>
      <c r="N84" s="839" t="str">
        <f>IF(K84=0,"",K84)</f>
        <v/>
      </c>
      <c r="O84" s="953" t="s">
        <v>2084</v>
      </c>
      <c r="P84" s="953"/>
      <c r="Q84" s="953"/>
      <c r="R84" s="953"/>
      <c r="S84" s="953"/>
      <c r="T84" s="838" t="s">
        <v>2085</v>
      </c>
      <c r="U84" s="838"/>
      <c r="V84" s="838"/>
      <c r="W84" s="838"/>
      <c r="X84" s="838"/>
      <c r="Y84" s="996"/>
      <c r="Z84" s="841"/>
      <c r="AA84" s="844"/>
      <c r="AB84" s="841"/>
      <c r="AC84" s="841"/>
      <c r="AD84" s="841"/>
    </row>
    <row customHeight="1" ht="9">
      <c r="A85" s="840"/>
      <c r="B85" s="894">
        <v>68</v>
      </c>
      <c r="C85" s="838"/>
      <c r="D85" s="963"/>
      <c r="E85" s="838"/>
      <c r="F85" s="838"/>
      <c r="G85" s="838"/>
      <c r="H85" s="886"/>
      <c r="I85" s="1001">
        <f>INDEX(TEMPLATE_NUMBER_POINT_FHD,B85,MATCH(TEMPLATE_SPHERE,TEMPLATE_SPHERE_LIST_FOR_NOTE,0))</f>
        <v>0</v>
      </c>
      <c r="J85" s="1001">
        <f>INDEX(TEMPLATE_DATA_POINT_FHD,B85,MATCH(TEMPLATE_SPHERE,TEMPLATE_SPHERE_LIST_FOR_NOTE,0))</f>
        <v>0</v>
      </c>
      <c r="K85" s="1001">
        <f>INDEX(TEMPLATE_NOTE_POINT_FHD,B85,MATCH(TEMPLATE_SPHERE,TEMPLATE_SPHERE_LIST_FOR_NOTE,0))</f>
        <v>0</v>
      </c>
      <c r="L85" s="839" t="str">
        <f>IF(I85=0,"",I85)</f>
        <v/>
      </c>
      <c r="M85" s="839" t="str">
        <f>IF(J85=0,"",J85)</f>
        <v/>
      </c>
      <c r="N85" s="839" t="str">
        <f>IF(K85=0,"",K85)</f>
        <v/>
      </c>
      <c r="O85" s="953" t="s">
        <v>1970</v>
      </c>
      <c r="P85" s="953"/>
      <c r="Q85" s="953"/>
      <c r="R85" s="953"/>
      <c r="S85" s="953"/>
      <c r="T85" s="838" t="s">
        <v>2086</v>
      </c>
      <c r="U85" s="838"/>
      <c r="V85" s="838"/>
      <c r="W85" s="838"/>
      <c r="X85" s="838"/>
      <c r="Y85" s="996"/>
      <c r="Z85" s="841"/>
      <c r="AA85" s="844"/>
      <c r="AB85" s="841"/>
      <c r="AC85" s="841"/>
      <c r="AD85" s="841"/>
    </row>
    <row customHeight="1" ht="27">
      <c r="A86" s="840"/>
      <c r="B86" s="894">
        <v>69</v>
      </c>
      <c r="C86" s="838"/>
      <c r="D86" s="963"/>
      <c r="E86" s="838"/>
      <c r="F86" s="838"/>
      <c r="G86" s="838"/>
      <c r="H86" s="886"/>
      <c r="I86" s="1001">
        <f>INDEX(TEMPLATE_NUMBER_POINT_FHD,B86,MATCH(TEMPLATE_SPHERE,TEMPLATE_SPHERE_LIST_FOR_NOTE,0))</f>
        <v>0</v>
      </c>
      <c r="J86" s="1001">
        <f>INDEX(TEMPLATE_DATA_POINT_FHD,B86,MATCH(TEMPLATE_SPHERE,TEMPLATE_SPHERE_LIST_FOR_NOTE,0))</f>
        <v>0</v>
      </c>
      <c r="K86" s="1001">
        <f>INDEX(TEMPLATE_NOTE_POINT_FHD,B86,MATCH(TEMPLATE_SPHERE,TEMPLATE_SPHERE_LIST_FOR_NOTE,0))</f>
        <v>0</v>
      </c>
      <c r="L86" s="839" t="str">
        <f>IF(I86=0,"",I86)</f>
        <v/>
      </c>
      <c r="M86" s="839" t="str">
        <f>IF(J86=0,"",J86)</f>
        <v/>
      </c>
      <c r="N86" s="839" t="str">
        <f>IF(K86=0,"",K86)</f>
        <v/>
      </c>
      <c r="O86" s="953" t="s">
        <v>2087</v>
      </c>
      <c r="P86" s="953"/>
      <c r="Q86" s="953"/>
      <c r="R86" s="953"/>
      <c r="S86" s="953"/>
      <c r="T86" s="838" t="s">
        <v>2088</v>
      </c>
      <c r="U86" s="838"/>
      <c r="V86" s="838"/>
      <c r="W86" s="838"/>
      <c r="X86" s="838"/>
      <c r="Y86" s="996"/>
      <c r="Z86" s="841"/>
      <c r="AA86" s="844"/>
      <c r="AB86" s="841"/>
      <c r="AC86" s="841"/>
      <c r="AD86" s="841"/>
    </row>
    <row customHeight="1" ht="36">
      <c r="A87" s="840"/>
      <c r="B87" s="894">
        <v>70</v>
      </c>
      <c r="C87" s="838" t="s">
        <v>2089</v>
      </c>
      <c r="D87" s="963"/>
      <c r="E87" s="838"/>
      <c r="F87" s="838"/>
      <c r="G87" s="838"/>
      <c r="H87" s="886"/>
      <c r="I87" s="1001">
        <f>INDEX(TEMPLATE_NUMBER_POINT_FHD,B87,MATCH(TEMPLATE_SPHERE,TEMPLATE_SPHERE_LIST_FOR_NOTE,0))</f>
        <v>0</v>
      </c>
      <c r="J87" s="1001">
        <f>INDEX(TEMPLATE_DATA_POINT_FHD,B87,MATCH(TEMPLATE_SPHERE,TEMPLATE_SPHERE_LIST_FOR_NOTE,0))</f>
        <v>0</v>
      </c>
      <c r="K87" s="1001">
        <f>INDEX(TEMPLATE_NOTE_POINT_FHD,B87,MATCH(TEMPLATE_SPHERE,TEMPLATE_SPHERE_LIST_FOR_NOTE,0))</f>
        <v>0</v>
      </c>
      <c r="L87" s="839" t="str">
        <f>IF(I87=0,"",I87)</f>
        <v/>
      </c>
      <c r="M87" s="839" t="str">
        <f>IF(J87=0,"",J87)</f>
        <v/>
      </c>
      <c r="N87" s="839" t="str">
        <f>IF(K87=0,"",K87)</f>
        <v/>
      </c>
      <c r="O87" s="953" t="s">
        <v>148</v>
      </c>
      <c r="P87" s="953"/>
      <c r="Q87" s="953"/>
      <c r="R87" s="953"/>
      <c r="S87" s="953"/>
      <c r="T87" s="838" t="s">
        <v>2090</v>
      </c>
      <c r="U87" s="838"/>
      <c r="V87" s="838"/>
      <c r="W87" s="838"/>
      <c r="X87" s="838"/>
      <c r="Y87" s="996"/>
      <c r="Z87" s="841"/>
      <c r="AA87" s="844"/>
      <c r="AB87" s="841"/>
      <c r="AC87" s="841"/>
      <c r="AD87" s="841"/>
    </row>
    <row customHeight="1" ht="18">
      <c r="A88" s="840"/>
      <c r="B88" s="894">
        <v>71</v>
      </c>
      <c r="C88" s="838" t="s">
        <v>2091</v>
      </c>
      <c r="D88" s="963"/>
      <c r="E88" s="838"/>
      <c r="F88" s="838"/>
      <c r="G88" s="838"/>
      <c r="H88" s="886"/>
      <c r="I88" s="1001">
        <f>INDEX(TEMPLATE_NUMBER_POINT_FHD,B88,MATCH(TEMPLATE_SPHERE,TEMPLATE_SPHERE_LIST_FOR_NOTE,0))</f>
        <v>0</v>
      </c>
      <c r="J88" s="1001">
        <f>INDEX(TEMPLATE_DATA_POINT_FHD,B88,MATCH(TEMPLATE_SPHERE,TEMPLATE_SPHERE_LIST_FOR_NOTE,0))</f>
        <v>0</v>
      </c>
      <c r="K88" s="1001">
        <f>INDEX(TEMPLATE_NOTE_POINT_FHD,B88,MATCH(TEMPLATE_SPHERE,TEMPLATE_SPHERE_LIST_FOR_NOTE,0))</f>
        <v>0</v>
      </c>
      <c r="L88" s="839" t="str">
        <f>IF(I88=0,"",I88)</f>
        <v/>
      </c>
      <c r="M88" s="839" t="str">
        <f>IF(J88=0,"",J88)</f>
        <v/>
      </c>
      <c r="N88" s="839" t="str">
        <f>IF(K88=0,"",K88)</f>
        <v/>
      </c>
      <c r="O88" s="953" t="s">
        <v>149</v>
      </c>
      <c r="P88" s="953"/>
      <c r="Q88" s="953"/>
      <c r="R88" s="953"/>
      <c r="S88" s="953"/>
      <c r="T88" s="838" t="s">
        <v>2092</v>
      </c>
      <c r="U88" s="838"/>
      <c r="V88" s="838"/>
      <c r="W88" s="838"/>
      <c r="X88" s="838"/>
      <c r="Y88" s="996"/>
      <c r="Z88" s="841"/>
      <c r="AA88" s="844"/>
      <c r="AB88" s="841"/>
      <c r="AC88" s="841"/>
      <c r="AD88" s="841"/>
    </row>
    <row customHeight="1" ht="18">
      <c r="A89" s="840"/>
      <c r="B89" s="894">
        <v>72</v>
      </c>
      <c r="C89" s="838" t="s">
        <v>2093</v>
      </c>
      <c r="D89" s="963" t="s">
        <v>2089</v>
      </c>
      <c r="E89" s="838" t="s">
        <v>2089</v>
      </c>
      <c r="F89" s="838" t="s">
        <v>2054</v>
      </c>
      <c r="G89" s="838"/>
      <c r="H89" s="886"/>
      <c r="I89" s="1001" t="str">
        <f>INDEX(TEMPLATE_NUMBER_POINT_FHD,B89,MATCH(TEMPLATE_SPHERE,TEMPLATE_SPHERE_LIST_FOR_NOTE,0))</f>
        <v>12</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12</v>
      </c>
      <c r="M89" s="839" t="str">
        <f>IF(J89=0,"",J89)</f>
        <v>Среднесписочная численность основного производственного персонала</v>
      </c>
      <c r="N89" s="839" t="str">
        <f>IF(K89=0,"",K89)</f>
        <v/>
      </c>
      <c r="O89" s="953" t="s">
        <v>150</v>
      </c>
      <c r="P89" s="953" t="s">
        <v>149</v>
      </c>
      <c r="Q89" s="953" t="s">
        <v>149</v>
      </c>
      <c r="R89" s="953" t="s">
        <v>147</v>
      </c>
      <c r="S89" s="953"/>
      <c r="T89" s="838" t="s">
        <v>2094</v>
      </c>
      <c r="U89" s="838" t="s">
        <v>2094</v>
      </c>
      <c r="V89" s="838" t="s">
        <v>2094</v>
      </c>
      <c r="W89" s="838" t="s">
        <v>2094</v>
      </c>
      <c r="X89" s="838"/>
      <c r="Y89" s="996"/>
      <c r="Z89" s="841"/>
      <c r="AA89" s="844"/>
      <c r="AB89" s="841"/>
      <c r="AC89" s="841"/>
      <c r="AD89" s="841"/>
    </row>
    <row customHeight="1" ht="27">
      <c r="A90" s="840"/>
      <c r="B90" s="894">
        <v>73</v>
      </c>
      <c r="C90" s="838" t="s">
        <v>2095</v>
      </c>
      <c r="D90" s="963"/>
      <c r="E90" s="838"/>
      <c r="F90" s="838"/>
      <c r="G90" s="838"/>
      <c r="H90" s="886"/>
      <c r="I90" s="1001">
        <f>INDEX(TEMPLATE_NUMBER_POINT_FHD,B90,MATCH(TEMPLATE_SPHERE,TEMPLATE_SPHERE_LIST_FOR_NOTE,0))</f>
        <v>0</v>
      </c>
      <c r="J90" s="1001">
        <f>INDEX(TEMPLATE_DATA_POINT_FHD,B90,MATCH(TEMPLATE_SPHERE,TEMPLATE_SPHERE_LIST_FOR_NOTE,0))</f>
        <v>0</v>
      </c>
      <c r="K90" s="1001">
        <f>INDEX(TEMPLATE_NOTE_POINT_FHD,B90,MATCH(TEMPLATE_SPHERE,TEMPLATE_SPHERE_LIST_FOR_NOTE,0))</f>
        <v>0</v>
      </c>
      <c r="L90" s="839" t="str">
        <f>IF(I90=0,"",I90)</f>
        <v/>
      </c>
      <c r="M90" s="839" t="str">
        <f>IF(J90=0,"",J90)</f>
        <v/>
      </c>
      <c r="N90" s="839" t="str">
        <f>IF(K90=0,"",K90)</f>
        <v/>
      </c>
      <c r="O90" s="953" t="s">
        <v>151</v>
      </c>
      <c r="P90" s="953"/>
      <c r="Q90" s="953"/>
      <c r="R90" s="953"/>
      <c r="S90" s="953"/>
      <c r="T90" s="838" t="s">
        <v>2096</v>
      </c>
      <c r="U90" s="838"/>
      <c r="V90" s="838"/>
      <c r="W90" s="838"/>
      <c r="X90" s="838"/>
      <c r="Y90" s="996"/>
      <c r="Z90" s="841"/>
      <c r="AA90" s="844"/>
      <c r="AB90" s="841"/>
      <c r="AC90" s="841"/>
      <c r="AD90" s="841"/>
    </row>
    <row customHeight="1" ht="18">
      <c r="A91" s="840"/>
      <c r="B91" s="894">
        <v>74</v>
      </c>
      <c r="C91" s="838"/>
      <c r="D91" s="963" t="s">
        <v>2091</v>
      </c>
      <c r="E91" s="838" t="s">
        <v>2091</v>
      </c>
      <c r="F91" s="838"/>
      <c r="G91" s="838"/>
      <c r="H91" s="886"/>
      <c r="I91" s="1001" t="str">
        <f>INDEX(TEMPLATE_NUMBER_POINT_FHD,B91,MATCH(TEMPLATE_SPHERE,TEMPLATE_SPHERE_LIST_FOR_NOTE,0))</f>
        <v>13</v>
      </c>
      <c r="J91" s="1001" t="str">
        <f>INDEX(TEMPLATE_DATA_POINT_FHD,B91,MATCH(TEMPLATE_SPHERE,TEMPLATE_SPHERE_LIST_FOR_NOTE,0))</f>
        <v>Удельный расход электрической энергии на подачу воды в сеть</v>
      </c>
      <c r="K91" s="1001">
        <f>INDEX(TEMPLATE_NOTE_POINT_FHD,B91,MATCH(TEMPLATE_SPHERE,TEMPLATE_SPHERE_LIST_FOR_NOTE,0))</f>
        <v>0</v>
      </c>
      <c r="L91" s="839" t="str">
        <f>IF(I91=0,"",I91)</f>
        <v>13</v>
      </c>
      <c r="M91" s="839" t="str">
        <f>IF(J91=0,"",J91)</f>
        <v>Удельный расход электрической энергии на подачу воды в сеть</v>
      </c>
      <c r="N91" s="839" t="str">
        <f>IF(K91=0,"",K91)</f>
        <v/>
      </c>
      <c r="O91" s="953"/>
      <c r="P91" s="953" t="s">
        <v>150</v>
      </c>
      <c r="Q91" s="953" t="s">
        <v>150</v>
      </c>
      <c r="R91" s="953"/>
      <c r="S91" s="953"/>
      <c r="T91" s="838"/>
      <c r="U91" s="838" t="s">
        <v>2097</v>
      </c>
      <c r="V91" s="838" t="s">
        <v>2097</v>
      </c>
      <c r="W91" s="838"/>
      <c r="X91" s="838"/>
      <c r="Y91" s="996"/>
      <c r="Z91" s="841"/>
      <c r="AA91" s="844"/>
      <c r="AB91" s="841"/>
      <c r="AC91" s="841"/>
      <c r="AD91" s="841"/>
    </row>
    <row customHeight="1" ht="27">
      <c r="A92" s="840"/>
      <c r="B92" s="894">
        <v>75</v>
      </c>
      <c r="C92" s="838"/>
      <c r="D92" s="963" t="s">
        <v>2093</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151</v>
      </c>
      <c r="Q92" s="953"/>
      <c r="R92" s="953"/>
      <c r="S92" s="953"/>
      <c r="T92" s="838"/>
      <c r="U92" s="838" t="s">
        <v>2098</v>
      </c>
      <c r="V92" s="838"/>
      <c r="W92" s="838"/>
      <c r="X92" s="838"/>
      <c r="Y92" s="996"/>
      <c r="Z92" s="841"/>
      <c r="AA92" s="844" t="s">
        <v>2099</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1998</v>
      </c>
      <c r="Q93" s="953"/>
      <c r="R93" s="953"/>
      <c r="S93" s="953"/>
      <c r="T93" s="838"/>
      <c r="U93" s="838" t="s">
        <v>2100</v>
      </c>
      <c r="V93" s="838"/>
      <c r="W93" s="838"/>
      <c r="X93" s="838"/>
      <c r="Y93" s="996"/>
      <c r="Z93" s="841"/>
      <c r="AA93" s="844" t="s">
        <v>2101</v>
      </c>
      <c r="AB93" s="841"/>
      <c r="AC93" s="841"/>
      <c r="AD93" s="841"/>
    </row>
    <row customHeight="1" ht="45">
      <c r="A94" s="840"/>
      <c r="B94" s="894">
        <v>77</v>
      </c>
      <c r="C94" s="838"/>
      <c r="D94" s="963" t="s">
        <v>2095</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95</v>
      </c>
      <c r="Q94" s="953"/>
      <c r="R94" s="953"/>
      <c r="S94" s="953"/>
      <c r="T94" s="838"/>
      <c r="U94" s="838" t="s">
        <v>2102</v>
      </c>
      <c r="V94" s="838"/>
      <c r="W94" s="838"/>
      <c r="X94" s="838"/>
      <c r="Y94" s="996"/>
      <c r="Z94" s="841"/>
      <c r="AA94" s="844" t="s">
        <v>2103</v>
      </c>
      <c r="AB94" s="841"/>
      <c r="AC94" s="841"/>
      <c r="AD94" s="841"/>
    </row>
    <row customHeight="1" ht="99">
      <c r="A95" s="840"/>
      <c r="B95" s="894">
        <v>78</v>
      </c>
      <c r="C95" s="838" t="s">
        <v>2104</v>
      </c>
      <c r="D95" s="963"/>
      <c r="E95" s="838"/>
      <c r="F95" s="838"/>
      <c r="G95" s="838"/>
      <c r="H95" s="886"/>
      <c r="I95" s="1001">
        <f>INDEX(TEMPLATE_NUMBER_POINT_FHD,B95,MATCH(TEMPLATE_SPHERE,TEMPLATE_SPHERE_LIST_FOR_NOTE,0))</f>
        <v>0</v>
      </c>
      <c r="J95" s="1001">
        <f>INDEX(TEMPLATE_DATA_POINT_FHD,B95,MATCH(TEMPLATE_SPHERE,TEMPLATE_SPHERE_LIST_FOR_NOTE,0))</f>
        <v>0</v>
      </c>
      <c r="K95" s="1001">
        <f>INDEX(TEMPLATE_NOTE_POINT_FHD,B95,MATCH(TEMPLATE_SPHERE,TEMPLATE_SPHERE_LIST_FOR_NOTE,0))</f>
        <v>0</v>
      </c>
      <c r="L95" s="839" t="str">
        <f>IF(I95=0,"",I95)</f>
        <v/>
      </c>
      <c r="M95" s="839" t="str">
        <f>IF(J95=0,"",J95)</f>
        <v/>
      </c>
      <c r="N95" s="839" t="str">
        <f>IF(K95=0,"",K95)</f>
        <v/>
      </c>
      <c r="O95" s="953" t="s">
        <v>95</v>
      </c>
      <c r="P95" s="953"/>
      <c r="Q95" s="953"/>
      <c r="R95" s="953"/>
      <c r="S95" s="953"/>
      <c r="T95" s="838" t="s">
        <v>2105</v>
      </c>
      <c r="U95" s="838"/>
      <c r="V95" s="838"/>
      <c r="W95" s="838"/>
      <c r="X95" s="838"/>
      <c r="Y95" s="996"/>
      <c r="Z95" s="841"/>
      <c r="AA95" s="844"/>
      <c r="AB95" s="841"/>
      <c r="AC95" s="841"/>
      <c r="AD95" s="841"/>
    </row>
    <row customHeight="1" ht="99">
      <c r="A96" s="840"/>
      <c r="B96" s="894">
        <v>79</v>
      </c>
      <c r="C96" s="838" t="s">
        <v>1043</v>
      </c>
      <c r="D96" s="963"/>
      <c r="E96" s="838"/>
      <c r="F96" s="838"/>
      <c r="G96" s="838"/>
      <c r="H96" s="886"/>
      <c r="I96" s="1001">
        <f>INDEX(TEMPLATE_NUMBER_POINT_FHD,B96,MATCH(TEMPLATE_SPHERE,TEMPLATE_SPHERE_LIST_FOR_NOTE,0))</f>
        <v>0</v>
      </c>
      <c r="J96" s="1001">
        <f>INDEX(TEMPLATE_DATA_POINT_FHD,B96,MATCH(TEMPLATE_SPHERE,TEMPLATE_SPHERE_LIST_FOR_NOTE,0))</f>
        <v>0</v>
      </c>
      <c r="K96" s="1001">
        <f>INDEX(TEMPLATE_NOTE_POINT_FHD,B96,MATCH(TEMPLATE_SPHERE,TEMPLATE_SPHERE_LIST_FOR_NOTE,0))</f>
        <v>0</v>
      </c>
      <c r="L96" s="839" t="str">
        <f>IF(I96=0,"",I96)</f>
        <v/>
      </c>
      <c r="M96" s="839" t="str">
        <f>IF(J96=0,"",J96)</f>
        <v/>
      </c>
      <c r="N96" s="839" t="str">
        <f>IF(K96=0,"",K96)</f>
        <v/>
      </c>
      <c r="O96" s="953" t="s">
        <v>1454</v>
      </c>
      <c r="P96" s="953"/>
      <c r="Q96" s="953"/>
      <c r="R96" s="953"/>
      <c r="S96" s="953"/>
      <c r="T96" s="838" t="s">
        <v>2106</v>
      </c>
      <c r="U96" s="838"/>
      <c r="V96" s="838"/>
      <c r="W96" s="838"/>
      <c r="X96" s="838"/>
      <c r="Y96" s="996"/>
      <c r="Z96" s="841" t="s">
        <v>2107</v>
      </c>
      <c r="AA96" s="844"/>
      <c r="AB96" s="841"/>
      <c r="AC96" s="841"/>
      <c r="AD96" s="841"/>
    </row>
    <row customHeight="1" ht="63">
      <c r="A97" s="840"/>
      <c r="B97" s="894">
        <v>80</v>
      </c>
      <c r="C97" s="838" t="s">
        <v>2108</v>
      </c>
      <c r="D97" s="963"/>
      <c r="E97" s="838"/>
      <c r="F97" s="838"/>
      <c r="G97" s="838"/>
      <c r="H97" s="886"/>
      <c r="I97" s="1001">
        <f>INDEX(TEMPLATE_NUMBER_POINT_FHD,B97,MATCH(TEMPLATE_SPHERE,TEMPLATE_SPHERE_LIST_FOR_NOTE,0))</f>
        <v>0</v>
      </c>
      <c r="J97" s="1001">
        <f>INDEX(TEMPLATE_DATA_POINT_FHD,B97,MATCH(TEMPLATE_SPHERE,TEMPLATE_SPHERE_LIST_FOR_NOTE,0))</f>
        <v>0</v>
      </c>
      <c r="K97" s="1001">
        <f>INDEX(TEMPLATE_NOTE_POINT_FHD,B97,MATCH(TEMPLATE_SPHERE,TEMPLATE_SPHERE_LIST_FOR_NOTE,0))</f>
        <v>0</v>
      </c>
      <c r="L97" s="839" t="str">
        <f>IF(I97=0,"",I97)</f>
        <v/>
      </c>
      <c r="M97" s="839" t="str">
        <f>IF(J97=0,"",J97)</f>
        <v/>
      </c>
      <c r="N97" s="839" t="str">
        <f>IF(K97=0,"",K97)</f>
        <v/>
      </c>
      <c r="O97" s="953" t="s">
        <v>1465</v>
      </c>
      <c r="P97" s="953"/>
      <c r="Q97" s="953"/>
      <c r="R97" s="953"/>
      <c r="S97" s="953"/>
      <c r="T97" s="838" t="s">
        <v>2109</v>
      </c>
      <c r="U97" s="838"/>
      <c r="V97" s="838"/>
      <c r="W97" s="838"/>
      <c r="X97" s="838"/>
      <c r="Y97" s="996"/>
      <c r="Z97" s="841" t="s">
        <v>2110</v>
      </c>
      <c r="AA97" s="844"/>
      <c r="AB97" s="841"/>
      <c r="AC97" s="841"/>
      <c r="AD97" s="841"/>
    </row>
    <row customHeight="1" ht="63">
      <c r="A98" s="840"/>
      <c r="B98" s="894">
        <v>81</v>
      </c>
      <c r="C98" s="838" t="s">
        <v>2111</v>
      </c>
      <c r="D98" s="963"/>
      <c r="E98" s="838"/>
      <c r="F98" s="838"/>
      <c r="G98" s="838"/>
      <c r="H98" s="886"/>
      <c r="I98" s="1001">
        <f>INDEX(TEMPLATE_NUMBER_POINT_FHD,B98,MATCH(TEMPLATE_SPHERE,TEMPLATE_SPHERE_LIST_FOR_NOTE,0))</f>
        <v>0</v>
      </c>
      <c r="J98" s="1001">
        <f>INDEX(TEMPLATE_DATA_POINT_FHD,B98,MATCH(TEMPLATE_SPHERE,TEMPLATE_SPHERE_LIST_FOR_NOTE,0))</f>
        <v>0</v>
      </c>
      <c r="K98" s="1001">
        <f>INDEX(TEMPLATE_NOTE_POINT_FHD,B98,MATCH(TEMPLATE_SPHERE,TEMPLATE_SPHERE_LIST_FOR_NOTE,0))</f>
        <v>0</v>
      </c>
      <c r="L98" s="839" t="str">
        <f>IF(I98=0,"",I98)</f>
        <v/>
      </c>
      <c r="M98" s="839" t="str">
        <f>IF(J98=0,"",J98)</f>
        <v/>
      </c>
      <c r="N98" s="839" t="str">
        <f>IF(K98=0,"",K98)</f>
        <v/>
      </c>
      <c r="O98" s="953" t="s">
        <v>1479</v>
      </c>
      <c r="P98" s="953"/>
      <c r="Q98" s="953"/>
      <c r="R98" s="953"/>
      <c r="S98" s="953"/>
      <c r="T98" s="838" t="s">
        <v>2112</v>
      </c>
      <c r="U98" s="838"/>
      <c r="V98" s="838"/>
      <c r="W98" s="838"/>
      <c r="X98" s="838"/>
      <c r="Y98" s="996"/>
      <c r="Z98" s="841" t="s">
        <v>2110</v>
      </c>
      <c r="AA98" s="844"/>
      <c r="AB98" s="841"/>
      <c r="AC98" s="841"/>
      <c r="AD98" s="841"/>
    </row>
    <row customHeight="1" ht="90">
      <c r="A99" s="840"/>
      <c r="B99" s="894">
        <v>82</v>
      </c>
      <c r="C99" s="838" t="s">
        <v>2113</v>
      </c>
      <c r="D99" s="963"/>
      <c r="E99" s="838"/>
      <c r="F99" s="838"/>
      <c r="G99" s="838"/>
      <c r="H99" s="886"/>
      <c r="I99" s="1001">
        <f>INDEX(TEMPLATE_NUMBER_POINT_FHD,B99,MATCH(TEMPLATE_SPHERE,TEMPLATE_SPHERE_LIST_FOR_NOTE,0))</f>
        <v>0</v>
      </c>
      <c r="J99" s="1001">
        <f>INDEX(TEMPLATE_DATA_POINT_FHD,B99,MATCH(TEMPLATE_SPHERE,TEMPLATE_SPHERE_LIST_FOR_NOTE,0))</f>
        <v>0</v>
      </c>
      <c r="K99" s="1001">
        <f>INDEX(TEMPLATE_NOTE_POINT_FHD,B99,MATCH(TEMPLATE_SPHERE,TEMPLATE_SPHERE_LIST_FOR_NOTE,0))</f>
        <v>0</v>
      </c>
      <c r="L99" s="839" t="str">
        <f>IF(I99=0,"",I99)</f>
        <v/>
      </c>
      <c r="M99" s="839" t="str">
        <f>IF(J99=0,"",J99)</f>
        <v/>
      </c>
      <c r="N99" s="839" t="str">
        <f>IF(K99=0,"",K99)</f>
        <v/>
      </c>
      <c r="O99" s="953" t="s">
        <v>1491</v>
      </c>
      <c r="P99" s="953"/>
      <c r="Q99" s="953"/>
      <c r="R99" s="953"/>
      <c r="S99" s="953"/>
      <c r="T99" s="838" t="s">
        <v>2114</v>
      </c>
      <c r="U99" s="838"/>
      <c r="V99" s="838"/>
      <c r="W99" s="838"/>
      <c r="X99" s="838"/>
      <c r="Y99" s="996"/>
      <c r="Z99" s="841" t="s">
        <v>781</v>
      </c>
      <c r="AA99" s="844"/>
      <c r="AB99" s="841"/>
      <c r="AC99" s="841"/>
      <c r="AD99" s="841"/>
    </row>
    <row customHeight="1" ht="27">
      <c r="A100" s="840"/>
      <c r="B100" s="894">
        <v>83</v>
      </c>
      <c r="C100" s="838"/>
      <c r="D100" s="963"/>
      <c r="E100" s="838"/>
      <c r="F100" s="838"/>
      <c r="G100" s="838"/>
      <c r="H100" s="886"/>
      <c r="I100" s="1001">
        <f>INDEX(TEMPLATE_NUMBER_POINT_FHD,B100,MATCH(TEMPLATE_SPHERE,TEMPLATE_SPHERE_LIST_FOR_NOTE,0))</f>
        <v>0</v>
      </c>
      <c r="J100" s="1001">
        <f>INDEX(TEMPLATE_DATA_POINT_FHD,B100,MATCH(TEMPLATE_SPHERE,TEMPLATE_SPHERE_LIST_FOR_NOTE,0))</f>
        <v>0</v>
      </c>
      <c r="K100" s="1001">
        <f>INDEX(TEMPLATE_NOTE_POINT_FHD,B100,MATCH(TEMPLATE_SPHERE,TEMPLATE_SPHERE_LIST_FOR_NOTE,0))</f>
        <v>0</v>
      </c>
      <c r="L100" s="839" t="str">
        <f>IF(I100=0,"",I100)</f>
        <v/>
      </c>
      <c r="M100" s="839" t="str">
        <f>IF(J100=0,"",J100)</f>
        <v/>
      </c>
      <c r="N100" s="839" t="str">
        <f>IF(K100=0,"",K100)</f>
        <v/>
      </c>
      <c r="O100" s="953" t="s">
        <v>2115</v>
      </c>
      <c r="P100" s="953"/>
      <c r="Q100" s="953"/>
      <c r="R100" s="953"/>
      <c r="S100" s="953"/>
      <c r="T100" s="838" t="s">
        <v>2116</v>
      </c>
      <c r="U100" s="838"/>
      <c r="V100" s="838"/>
      <c r="W100" s="838"/>
      <c r="X100" s="838"/>
      <c r="Y100" s="996"/>
      <c r="Z100" s="841" t="s">
        <v>781</v>
      </c>
      <c r="AA100" s="844"/>
      <c r="AB100" s="841"/>
      <c r="AC100" s="841"/>
      <c r="AD100" s="841"/>
    </row>
    <row customHeight="1" ht="27">
      <c r="A101" s="840"/>
      <c r="B101" s="894">
        <v>84</v>
      </c>
      <c r="C101" s="838"/>
      <c r="D101" s="963"/>
      <c r="E101" s="838"/>
      <c r="F101" s="838"/>
      <c r="G101" s="838"/>
      <c r="H101" s="886"/>
      <c r="I101" s="1001">
        <f>INDEX(TEMPLATE_NUMBER_POINT_FHD,B101,MATCH(TEMPLATE_SPHERE,TEMPLATE_SPHERE_LIST_FOR_NOTE,0))</f>
        <v>0</v>
      </c>
      <c r="J101" s="1001">
        <f>INDEX(TEMPLATE_DATA_POINT_FHD,B101,MATCH(TEMPLATE_SPHERE,TEMPLATE_SPHERE_LIST_FOR_NOTE,0))</f>
        <v>0</v>
      </c>
      <c r="K101" s="1001">
        <f>INDEX(TEMPLATE_NOTE_POINT_FHD,B101,MATCH(TEMPLATE_SPHERE,TEMPLATE_SPHERE_LIST_FOR_NOTE,0))</f>
        <v>0</v>
      </c>
      <c r="L101" s="839" t="str">
        <f>IF(I101=0,"",I101)</f>
        <v/>
      </c>
      <c r="M101" s="839" t="str">
        <f>IF(J101=0,"",J101)</f>
        <v/>
      </c>
      <c r="N101" s="839" t="str">
        <f>IF(K101=0,"",K101)</f>
        <v/>
      </c>
      <c r="O101" s="953" t="s">
        <v>2117</v>
      </c>
      <c r="P101" s="953"/>
      <c r="Q101" s="953"/>
      <c r="R101" s="953"/>
      <c r="S101" s="953"/>
      <c r="T101" s="838" t="s">
        <v>2118</v>
      </c>
      <c r="U101" s="838"/>
      <c r="V101" s="838"/>
      <c r="W101" s="838"/>
      <c r="X101" s="838"/>
      <c r="Y101" s="996"/>
      <c r="Z101" s="841" t="s">
        <v>781</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1644</v>
      </c>
      <c r="B148" s="840"/>
      <c r="C148" s="838" t="s">
        <v>2119</v>
      </c>
      <c r="D148" s="838" t="s">
        <v>1547</v>
      </c>
      <c r="E148" s="838" t="s">
        <v>1646</v>
      </c>
      <c r="F148" s="838" t="s">
        <v>2120</v>
      </c>
      <c r="G148" s="838"/>
      <c r="H148" s="838"/>
      <c r="I148" s="959"/>
      <c r="J148" s="959"/>
      <c r="K148" s="959"/>
      <c r="L148" s="959"/>
      <c r="M148" s="8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3"/>
      <c r="O148" s="838"/>
      <c r="P148" s="839"/>
      <c r="Q148" s="839"/>
      <c r="R148" s="839"/>
      <c r="S148" s="838"/>
      <c r="T148" s="838" t="s">
        <v>2121</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39"/>
      <c r="W148" s="839"/>
      <c r="X148" s="838" t="s">
        <v>2122</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1648</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1651</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1656</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E0C21-A545-F07C-0AAC-C97DD3005C33}"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ИМУП «ПОСЖИЛКОМСЕРВИС»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1040</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388" t="s">
        <v>132</v>
      </c>
      <c r="B17" s="1388" t="s">
        <v>133</v>
      </c>
      <c r="C17" s="1388" t="s">
        <v>134</v>
      </c>
      <c r="D17" s="1388" t="s">
        <v>135</v>
      </c>
      <c r="E17" s="1388"/>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388"/>
      <c r="B18" s="1388"/>
      <c r="C18" s="1388"/>
      <c r="D18" s="1388"/>
      <c r="E18" s="1388"/>
      <c r="F18" s="1380"/>
      <c r="G18" s="1380"/>
      <c r="H18" s="1380"/>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166</v>
      </c>
      <c r="B19" s="1381" t="s">
        <v>167</v>
      </c>
      <c r="C19" s="1381" t="s">
        <v>168</v>
      </c>
      <c r="D19" s="1381" t="s">
        <v>169</v>
      </c>
      <c r="E19" s="1381"/>
      <c r="F19" s="1383"/>
      <c r="G19" s="1383"/>
      <c r="H19" s="1383"/>
      <c r="I19" s="349"/>
      <c r="J19" s="348"/>
      <c r="K19" s="343"/>
      <c r="L19" s="1311">
        <f>INDEX(PT_DIFFERENTIATION_NUM_NTAR,MATCH(A19,PT_DIFFERENTIATION_NTAR_ID,0))</f>
        <v>0</v>
      </c>
      <c r="M19" s="278" t="s">
        <v>121</v>
      </c>
      <c r="N19" s="280"/>
      <c r="O19" s="2415" t="str">
        <f>INDEX(PT_DIFFERENTIATION_NTAR,MATCH(A19,PT_DIFFERENTIATION_NTAR_ID,0))</f>
        <v/>
      </c>
      <c r="P19" s="2415"/>
      <c r="Q19" s="2415"/>
      <c r="R19" s="2415"/>
      <c r="S19" s="2415"/>
      <c r="T19" s="2415"/>
      <c r="U19" s="2415"/>
      <c r="V19" s="2415"/>
      <c r="W19" s="2415"/>
      <c r="X19" s="1274" t="s">
        <v>382</v>
      </c>
      <c r="Z19" s="496"/>
      <c r="AA19" s="496" t="str">
        <f>IF(M19="","",M19)</f>
        <v>Наименование тарифа</v>
      </c>
      <c r="AB19" s="496"/>
      <c r="AC19" s="496"/>
    </row>
    <row customHeight="1" ht="21">
      <c r="A20" s="1381" t="s">
        <v>166</v>
      </c>
      <c r="B20" s="1381" t="s">
        <v>167</v>
      </c>
      <c r="C20" s="1381" t="s">
        <v>168</v>
      </c>
      <c r="D20" s="1381" t="s">
        <v>169</v>
      </c>
      <c r="E20" s="1381"/>
      <c r="F20" s="1383"/>
      <c r="G20" s="1383"/>
      <c r="H20" s="1383"/>
      <c r="I20" s="1308"/>
      <c r="J20" s="340"/>
      <c r="K20" s="341"/>
      <c r="L20" s="1311" t="str">
        <f>INDEX(PT_DIFFERENTIATION_NUM_TER,MATCH(B19,PT_DIFFERENTIATION_TER_ID,0))</f>
        <v>.</v>
      </c>
      <c r="M20" s="290" t="s">
        <v>383</v>
      </c>
      <c r="N20" s="280"/>
      <c r="O20" s="2415" t="str">
        <f>INDEX(PT_DIFFERENTIATION_TER,MATCH(B19,PT_DIFFERENTIATION_TER_ID,0))</f>
        <v/>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381" t="s">
        <v>166</v>
      </c>
      <c r="B21" s="1381" t="s">
        <v>167</v>
      </c>
      <c r="C21" s="1381" t="s">
        <v>168</v>
      </c>
      <c r="D21" s="1381" t="s">
        <v>169</v>
      </c>
      <c r="E21" s="1381"/>
      <c r="F21" s="1383"/>
      <c r="G21" s="1383"/>
      <c r="H21" s="1383"/>
      <c r="I21" s="342"/>
      <c r="J21" s="340"/>
      <c r="K21" s="341"/>
      <c r="L21" s="1311" t="str">
        <f>INDEX(PT_DIFFERENTIATION_NUM_CS,MATCH(C19,PT_DIFFERENTIATION_CS_ID,0))</f>
        <v>..</v>
      </c>
      <c r="M21" s="291" t="s">
        <v>385</v>
      </c>
      <c r="N21" s="280"/>
      <c r="O21" s="2415" t="str">
        <f>INDEX(PT_DIFFERENTIATION_CS,MATCH(C19,PT_DIFFERENTIATION_CS_ID,0))</f>
        <v/>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381" t="s">
        <v>166</v>
      </c>
      <c r="B22" s="1381" t="s">
        <v>167</v>
      </c>
      <c r="C22" s="1381" t="s">
        <v>168</v>
      </c>
      <c r="D22" s="1381" t="s">
        <v>169</v>
      </c>
      <c r="E22" s="1381"/>
      <c r="F22" s="1383"/>
      <c r="G22" s="1383"/>
      <c r="H22" s="1383"/>
      <c r="I22" s="342"/>
      <c r="J22" s="340"/>
      <c r="K22" s="341"/>
      <c r="L22" s="1311" t="str">
        <f>INDEX(PT_DIFFERENTIATION_NUM_IST_TE,MATCH(D19,PT_DIFFERENTIATION_IST_TE_ID,0))</f>
        <v>...</v>
      </c>
      <c r="M22" s="292" t="s">
        <v>387</v>
      </c>
      <c r="N22" s="280"/>
      <c r="O22" s="2415" t="str">
        <f>INDEX(PT_DIFFERENTIATION_IST_TE,MATCH(D19,PT_DIFFERENTIATION_IST_TE_ID,0))</f>
        <v/>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381" t="s">
        <v>166</v>
      </c>
      <c r="B23" s="1381" t="s">
        <v>167</v>
      </c>
      <c r="C23" s="1381" t="s">
        <v>168</v>
      </c>
      <c r="D23" s="1381" t="s">
        <v>169</v>
      </c>
      <c r="E23" s="1381"/>
      <c r="F23" s="2416" t="str">
        <f>L22&amp;".1"</f>
        <v>....1</v>
      </c>
      <c r="I23" s="2092">
        <v>1</v>
      </c>
      <c r="J23" s="1309"/>
      <c r="K23" s="344"/>
      <c r="L23" s="1311" t="str">
        <f>$F$23</f>
        <v>....1</v>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166</v>
      </c>
      <c r="B24" s="1381" t="s">
        <v>167</v>
      </c>
      <c r="C24" s="1381" t="s">
        <v>168</v>
      </c>
      <c r="D24" s="1381" t="s">
        <v>169</v>
      </c>
      <c r="E24" s="1381"/>
      <c r="F24" s="2416"/>
      <c r="G24" s="2063" t="str">
        <f>F23&amp;".1"</f>
        <v>....1.1</v>
      </c>
      <c r="I24" s="2092"/>
      <c r="J24" s="2092">
        <v>1</v>
      </c>
      <c r="K24" s="345"/>
      <c r="L24" s="1311" t="str">
        <f>$G$24</f>
        <v>....1.1</v>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381" t="s">
        <v>166</v>
      </c>
      <c r="B25" s="1381" t="s">
        <v>167</v>
      </c>
      <c r="C25" s="1381" t="s">
        <v>168</v>
      </c>
      <c r="D25" s="1381" t="s">
        <v>169</v>
      </c>
      <c r="E25" s="1381"/>
      <c r="F25" s="2416"/>
      <c r="G25" s="2063"/>
      <c r="H25" s="2063" t="str">
        <f>G24&amp;".1"</f>
        <v>....1.1.1</v>
      </c>
      <c r="I25" s="2092"/>
      <c r="J25" s="2092"/>
      <c r="K25" s="345">
        <v>1</v>
      </c>
      <c r="L25" s="1311" t="str">
        <f>$H$25</f>
        <v>....1.1.1</v>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381" t="s">
        <v>166</v>
      </c>
      <c r="B26" s="1381" t="s">
        <v>167</v>
      </c>
      <c r="C26" s="1381" t="s">
        <v>168</v>
      </c>
      <c r="D26" s="1381" t="s">
        <v>169</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166</v>
      </c>
      <c r="B27" s="1381" t="s">
        <v>167</v>
      </c>
      <c r="C27" s="1381" t="s">
        <v>168</v>
      </c>
      <c r="D27" s="1381" t="s">
        <v>169</v>
      </c>
      <c r="E27" s="1381"/>
      <c r="F27" s="2416"/>
      <c r="G27" s="2063"/>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166</v>
      </c>
      <c r="B28" s="1381" t="s">
        <v>167</v>
      </c>
      <c r="C28" s="1381" t="s">
        <v>168</v>
      </c>
      <c r="D28" s="1381" t="s">
        <v>169</v>
      </c>
      <c r="E28" s="1381"/>
      <c r="F28" s="2416"/>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166</v>
      </c>
      <c r="B29" s="1381" t="s">
        <v>167</v>
      </c>
      <c r="C29" s="1381" t="s">
        <v>168</v>
      </c>
      <c r="D29" s="1381" t="s">
        <v>169</v>
      </c>
      <c r="E29" s="1381"/>
      <c r="F29" s="1383"/>
      <c r="G29" s="1383"/>
      <c r="H29" s="533"/>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166</v>
      </c>
      <c r="B30" s="1381" t="s">
        <v>167</v>
      </c>
      <c r="C30" s="1381" t="s">
        <v>168</v>
      </c>
      <c r="D30" s="1381"/>
      <c r="E30" s="1381" t="s">
        <v>564</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166</v>
      </c>
      <c r="B31" s="1381" t="s">
        <v>167</v>
      </c>
      <c r="C31" s="1381"/>
      <c r="D31" s="1381"/>
      <c r="E31" s="1381" t="s">
        <v>2125</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2126</v>
      </c>
      <c r="B32" s="1381"/>
      <c r="C32" s="1381"/>
      <c r="D32" s="1381"/>
      <c r="E32" s="1381" t="s">
        <v>101</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434</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696</v>
      </c>
      <c r="M35" s="2087" t="s">
        <v>2127</v>
      </c>
      <c r="N35" s="2087"/>
      <c r="O35" s="2087"/>
      <c r="P35" s="2087"/>
      <c r="Q35" s="2087"/>
      <c r="R35" s="2087"/>
      <c r="S35" s="2087"/>
      <c r="T35" s="2087"/>
      <c r="U35" s="2087"/>
      <c r="V35" s="2087"/>
      <c r="W35" s="2087"/>
      <c r="X35" s="2087"/>
    </row>
    <row customHeight="1" ht="104.25">
      <c r="H36" s="533"/>
      <c r="I36" s="1321"/>
      <c r="M36" s="2087" t="s">
        <v>2128</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32852-A772-C88D-764A-CD474A96AE6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ИМУП «ПОСЖИЛКОМСЕРВИС»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1040</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276" t="s">
        <v>132</v>
      </c>
      <c r="B17" s="1276" t="s">
        <v>133</v>
      </c>
      <c r="C17" s="1276" t="s">
        <v>134</v>
      </c>
      <c r="D17" s="1276" t="s">
        <v>135</v>
      </c>
      <c r="E17" s="1276"/>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276"/>
      <c r="B18" s="1276"/>
      <c r="C18" s="1276"/>
      <c r="D18" s="1276"/>
      <c r="E18" s="1276"/>
      <c r="F18" s="1304"/>
      <c r="G18" s="1304"/>
      <c r="H18" s="1304"/>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2129</v>
      </c>
      <c r="B19" s="1284" t="s">
        <v>2130</v>
      </c>
      <c r="C19" s="1284" t="s">
        <v>2131</v>
      </c>
      <c r="D19" s="1284" t="s">
        <v>2132</v>
      </c>
      <c r="E19" s="1284"/>
      <c r="F19" s="683"/>
      <c r="G19" s="683"/>
      <c r="H19" s="683"/>
      <c r="I19" s="349"/>
      <c r="J19" s="348"/>
      <c r="K19" s="343"/>
      <c r="L19" s="1311">
        <f>INDEX(PT_DIFFERENTIATION_NUM_NTAR,MATCH(A19,PT_DIFFERENTIATION_NTAR_ID,0))</f>
      </c>
      <c r="M19" s="278" t="s">
        <v>121</v>
      </c>
      <c r="N19" s="280"/>
      <c r="O19" s="2415">
        <f>INDEX(PT_DIFFERENTIATION_NTAR,MATCH(A19,PT_DIFFERENTIATION_NTAR_ID,0))</f>
      </c>
      <c r="P19" s="2415"/>
      <c r="Q19" s="2415"/>
      <c r="R19" s="2415"/>
      <c r="S19" s="2415"/>
      <c r="T19" s="2415"/>
      <c r="U19" s="2415"/>
      <c r="V19" s="2415"/>
      <c r="W19" s="2415"/>
      <c r="X19" s="1274" t="s">
        <v>382</v>
      </c>
      <c r="Z19" s="496"/>
      <c r="AA19" s="496" t="str">
        <f>IF(M19="","",M19)</f>
        <v>Наименование тарифа</v>
      </c>
      <c r="AB19" s="496"/>
      <c r="AC19" s="496"/>
    </row>
    <row customHeight="1" ht="21">
      <c r="A20" s="1284" t="s">
        <v>2129</v>
      </c>
      <c r="B20" s="1284" t="s">
        <v>2130</v>
      </c>
      <c r="C20" s="1284" t="s">
        <v>2131</v>
      </c>
      <c r="D20" s="1284" t="s">
        <v>2132</v>
      </c>
      <c r="E20" s="1284"/>
      <c r="F20" s="683"/>
      <c r="G20" s="683"/>
      <c r="H20" s="683"/>
      <c r="I20" s="1308"/>
      <c r="J20" s="340"/>
      <c r="K20" s="341"/>
      <c r="L20" s="1311">
        <f>INDEX(PT_DIFFERENTIATION_NUM_TER,MATCH(B19,PT_DIFFERENTIATION_TER_ID,0))</f>
      </c>
      <c r="M20" s="290" t="s">
        <v>383</v>
      </c>
      <c r="N20" s="280"/>
      <c r="O20" s="2415">
        <f>INDEX(PT_DIFFERENTIATION_TER,MATCH(B19,PT_DIFFERENTIATION_TER_ID,0))</f>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284" t="s">
        <v>2129</v>
      </c>
      <c r="B21" s="1284" t="s">
        <v>2130</v>
      </c>
      <c r="C21" s="1284" t="s">
        <v>2131</v>
      </c>
      <c r="D21" s="1284" t="s">
        <v>2132</v>
      </c>
      <c r="E21" s="1284"/>
      <c r="F21" s="683"/>
      <c r="G21" s="683"/>
      <c r="H21" s="683"/>
      <c r="I21" s="342"/>
      <c r="J21" s="340"/>
      <c r="K21" s="341"/>
      <c r="L21" s="1311">
        <f>INDEX(PT_DIFFERENTIATION_NUM_CS,MATCH(C19,PT_DIFFERENTIATION_CS_ID,0))</f>
      </c>
      <c r="M21" s="291" t="s">
        <v>385</v>
      </c>
      <c r="N21" s="280"/>
      <c r="O21" s="2415">
        <f>INDEX(PT_DIFFERENTIATION_CS,MATCH(C19,PT_DIFFERENTIATION_CS_ID,0))</f>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284" t="s">
        <v>2129</v>
      </c>
      <c r="B22" s="1284" t="s">
        <v>2130</v>
      </c>
      <c r="C22" s="1284" t="s">
        <v>2131</v>
      </c>
      <c r="D22" s="1284" t="s">
        <v>2132</v>
      </c>
      <c r="E22" s="1284"/>
      <c r="F22" s="683"/>
      <c r="G22" s="683"/>
      <c r="H22" s="683"/>
      <c r="I22" s="342"/>
      <c r="J22" s="340"/>
      <c r="K22" s="341"/>
      <c r="L22" s="1311">
        <f>INDEX(PT_DIFFERENTIATION_NUM_IST_TE,MATCH(D19,PT_DIFFERENTIATION_IST_TE_ID,0))</f>
      </c>
      <c r="M22" s="292" t="s">
        <v>387</v>
      </c>
      <c r="N22" s="280"/>
      <c r="O22" s="2415">
        <f>INDEX(PT_DIFFERENTIATION_IST_TE,MATCH(D19,PT_DIFFERENTIATION_IST_TE_ID,0))</f>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284" t="s">
        <v>2129</v>
      </c>
      <c r="B23" s="1284" t="s">
        <v>2130</v>
      </c>
      <c r="C23" s="1284" t="s">
        <v>2131</v>
      </c>
      <c r="D23" s="1284" t="s">
        <v>2132</v>
      </c>
      <c r="E23" s="1284"/>
      <c r="F23" s="1950">
        <f>L22&amp;".1"</f>
      </c>
      <c r="I23" s="2092">
        <v>1</v>
      </c>
      <c r="J23" s="1309"/>
      <c r="K23" s="344"/>
      <c r="L23" s="1311">
        <f>$F$23</f>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2129</v>
      </c>
      <c r="B24" s="1284" t="s">
        <v>2130</v>
      </c>
      <c r="C24" s="1284" t="s">
        <v>2131</v>
      </c>
      <c r="D24" s="1284" t="s">
        <v>2132</v>
      </c>
      <c r="E24" s="1284"/>
      <c r="F24" s="1950"/>
      <c r="G24" s="1934">
        <f>F23&amp;".1"</f>
      </c>
      <c r="I24" s="2092"/>
      <c r="J24" s="2092">
        <v>1</v>
      </c>
      <c r="K24" s="345"/>
      <c r="L24" s="1311">
        <f>$G$24</f>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284" t="s">
        <v>2129</v>
      </c>
      <c r="B25" s="1284" t="s">
        <v>2130</v>
      </c>
      <c r="C25" s="1284" t="s">
        <v>2131</v>
      </c>
      <c r="D25" s="1284" t="s">
        <v>2132</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284" t="s">
        <v>2129</v>
      </c>
      <c r="B26" s="1284" t="s">
        <v>2130</v>
      </c>
      <c r="C26" s="1284" t="s">
        <v>2131</v>
      </c>
      <c r="D26" s="1284" t="s">
        <v>2132</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2129</v>
      </c>
      <c r="B27" s="1284" t="s">
        <v>2130</v>
      </c>
      <c r="C27" s="1284" t="s">
        <v>2131</v>
      </c>
      <c r="D27" s="1284" t="s">
        <v>2132</v>
      </c>
      <c r="E27" s="1284"/>
      <c r="F27" s="1950"/>
      <c r="G27" s="1934"/>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2129</v>
      </c>
      <c r="B28" s="1284" t="s">
        <v>2130</v>
      </c>
      <c r="C28" s="1284" t="s">
        <v>2131</v>
      </c>
      <c r="D28" s="1284" t="s">
        <v>2132</v>
      </c>
      <c r="E28" s="1284"/>
      <c r="F28" s="1950"/>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2129</v>
      </c>
      <c r="B29" s="1284" t="s">
        <v>2130</v>
      </c>
      <c r="C29" s="1284" t="s">
        <v>2131</v>
      </c>
      <c r="D29" s="1284" t="s">
        <v>2132</v>
      </c>
      <c r="E29" s="1284"/>
      <c r="F29" s="683"/>
      <c r="G29" s="683"/>
      <c r="H29" s="505"/>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2129</v>
      </c>
      <c r="B30" s="1284" t="s">
        <v>2130</v>
      </c>
      <c r="C30" s="1284" t="s">
        <v>2131</v>
      </c>
      <c r="D30" s="1284"/>
      <c r="E30" s="1284" t="s">
        <v>564</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2129</v>
      </c>
      <c r="B31" s="1284" t="s">
        <v>2130</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2133</v>
      </c>
      <c r="B32" s="1284"/>
      <c r="C32" s="1284"/>
      <c r="D32" s="1284"/>
      <c r="E32" s="1284" t="s">
        <v>101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434</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696</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36EDC-87C5-E417-90F6-DBFAC636C10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263</v>
      </c>
      <c r="M2" s="1581" t="s">
        <v>264</v>
      </c>
      <c r="R2" s="1581" t="s">
        <v>265</v>
      </c>
      <c r="S2" s="1581" t="s">
        <v>264</v>
      </c>
      <c r="X2" s="1581" t="s">
        <v>263</v>
      </c>
      <c r="Y2" s="1581" t="s">
        <v>264</v>
      </c>
      <c r="AD2" s="1581" t="s">
        <v>263</v>
      </c>
      <c r="AE2" s="1581" t="s">
        <v>264</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266</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ИМУП «ПОСЖИЛКОМСЕРВИС»</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84</v>
      </c>
      <c r="E8" s="1952" t="s">
        <v>102</v>
      </c>
      <c r="F8" s="2010" t="s">
        <v>120</v>
      </c>
      <c r="G8" s="2011"/>
      <c r="H8" s="2010" t="s">
        <v>84</v>
      </c>
      <c r="I8" s="2011"/>
      <c r="J8" s="1952" t="s">
        <v>121</v>
      </c>
      <c r="K8" s="1584"/>
      <c r="L8" s="2014" t="s">
        <v>267</v>
      </c>
      <c r="M8" s="2014"/>
      <c r="N8" s="2014"/>
      <c r="O8" s="2014"/>
      <c r="P8" s="2014"/>
      <c r="Q8" s="1585"/>
      <c r="R8" s="1931" t="s">
        <v>268</v>
      </c>
      <c r="S8" s="2015"/>
      <c r="T8" s="2015"/>
      <c r="U8" s="2015"/>
      <c r="V8" s="2015"/>
      <c r="W8" s="1585"/>
      <c r="X8" s="2016" t="s">
        <v>269</v>
      </c>
      <c r="Y8" s="2016"/>
      <c r="Z8" s="2016"/>
      <c r="AA8" s="2016"/>
      <c r="AB8" s="2016"/>
      <c r="AC8" s="1586"/>
      <c r="AD8" s="1952" t="s">
        <v>270</v>
      </c>
      <c r="AE8" s="1952"/>
      <c r="AF8" s="1952"/>
      <c r="AG8" s="1952"/>
      <c r="AH8" s="1936"/>
      <c r="AI8" s="1952" t="s">
        <v>271</v>
      </c>
      <c r="AJ8" s="0"/>
    </row>
    <row customHeight="1" ht="22.5">
      <c r="D9" s="1952"/>
      <c r="E9" s="1952"/>
      <c r="F9" s="2009" t="s">
        <v>85</v>
      </c>
      <c r="G9" s="2009" t="s">
        <v>126</v>
      </c>
      <c r="H9" s="2012"/>
      <c r="I9" s="2013"/>
      <c r="J9" s="1936"/>
      <c r="K9" s="1587"/>
      <c r="L9" s="1952" t="s">
        <v>272</v>
      </c>
      <c r="M9" s="1936"/>
      <c r="N9" s="2010" t="s">
        <v>84</v>
      </c>
      <c r="O9" s="2011"/>
      <c r="P9" s="1952" t="s">
        <v>127</v>
      </c>
      <c r="Q9" s="1584"/>
      <c r="R9" s="1952" t="s">
        <v>272</v>
      </c>
      <c r="S9" s="1936"/>
      <c r="T9" s="2010" t="s">
        <v>84</v>
      </c>
      <c r="U9" s="2011"/>
      <c r="V9" s="1952" t="s">
        <v>127</v>
      </c>
      <c r="W9" s="1584"/>
      <c r="X9" s="1952" t="s">
        <v>272</v>
      </c>
      <c r="Y9" s="1936"/>
      <c r="Z9" s="2010" t="s">
        <v>84</v>
      </c>
      <c r="AA9" s="2011"/>
      <c r="AB9" s="1952" t="s">
        <v>273</v>
      </c>
      <c r="AC9" s="1584"/>
      <c r="AD9" s="1952" t="s">
        <v>272</v>
      </c>
      <c r="AE9" s="1936"/>
      <c r="AF9" s="2010" t="s">
        <v>84</v>
      </c>
      <c r="AG9" s="2011"/>
      <c r="AH9" s="1936" t="s">
        <v>273</v>
      </c>
      <c r="AI9" s="1952"/>
      <c r="AJ9" s="0"/>
    </row>
    <row customHeight="1" ht="22.5">
      <c r="D10" s="2009"/>
      <c r="E10" s="2009"/>
      <c r="F10" s="2017"/>
      <c r="G10" s="2017"/>
      <c r="H10" s="2018"/>
      <c r="I10" s="2019"/>
      <c r="J10" s="2010"/>
      <c r="K10" s="1587"/>
      <c r="L10" s="1605" t="s">
        <v>274</v>
      </c>
      <c r="M10" s="1601" t="s">
        <v>275</v>
      </c>
      <c r="N10" s="2012"/>
      <c r="O10" s="2013"/>
      <c r="P10" s="2009"/>
      <c r="Q10" s="1584"/>
      <c r="R10" s="1605" t="s">
        <v>274</v>
      </c>
      <c r="S10" s="1601" t="s">
        <v>275</v>
      </c>
      <c r="T10" s="2012"/>
      <c r="U10" s="2013"/>
      <c r="V10" s="2009"/>
      <c r="W10" s="1584"/>
      <c r="X10" s="1605" t="s">
        <v>274</v>
      </c>
      <c r="Y10" s="1601" t="s">
        <v>275</v>
      </c>
      <c r="Z10" s="2012"/>
      <c r="AA10" s="2013"/>
      <c r="AB10" s="2009"/>
      <c r="AC10" s="1584"/>
      <c r="AD10" s="1605" t="s">
        <v>274</v>
      </c>
      <c r="AE10" s="1601" t="s">
        <v>275</v>
      </c>
      <c r="AF10" s="2012"/>
      <c r="AG10" s="2013"/>
      <c r="AH10" s="2010"/>
      <c r="AI10" s="2009"/>
      <c r="AJ10" s="0"/>
      <c r="AK10" s="233" t="s">
        <v>276</v>
      </c>
      <c r="AL10" s="233" t="s">
        <v>128</v>
      </c>
    </row>
    <row customHeight="1" ht="14.25">
      <c r="D11" s="2020" t="s">
        <v>106</v>
      </c>
      <c r="E11" s="2022" t="s">
        <v>277</v>
      </c>
      <c r="F11" s="2022" t="s">
        <v>278</v>
      </c>
      <c r="G11" s="2025" t="s">
        <v>53</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107</v>
      </c>
      <c r="E17" s="2022" t="s">
        <v>277</v>
      </c>
      <c r="F17" s="2022" t="s">
        <v>279</v>
      </c>
      <c r="G17" s="2025" t="s">
        <v>53</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86</v>
      </c>
      <c r="E23" s="2022" t="s">
        <v>277</v>
      </c>
      <c r="F23" s="2022" t="s">
        <v>280</v>
      </c>
      <c r="G23" s="2025" t="s">
        <v>53</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94</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87</v>
      </c>
      <c r="E29" s="2022" t="s">
        <v>277</v>
      </c>
      <c r="F29" s="2022" t="s">
        <v>281</v>
      </c>
      <c r="G29" s="2025" t="s">
        <v>53</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108</v>
      </c>
      <c r="E35" s="2022" t="s">
        <v>277</v>
      </c>
      <c r="F35" s="2022" t="s">
        <v>282</v>
      </c>
      <c r="G35" s="2025" t="s">
        <v>53</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B9CAC-C99A-B07E-6F5B-54321C399BAF}"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ИМУП «ПОСЖИЛКОМСЕРВИС»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1040</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276" t="s">
        <v>132</v>
      </c>
      <c r="B17" s="1276" t="s">
        <v>133</v>
      </c>
      <c r="C17" s="1276" t="s">
        <v>134</v>
      </c>
      <c r="D17" s="1276" t="s">
        <v>135</v>
      </c>
      <c r="E17" s="1276"/>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276"/>
      <c r="B18" s="1276"/>
      <c r="C18" s="1276"/>
      <c r="D18" s="1276"/>
      <c r="E18" s="1276"/>
      <c r="F18" s="1304"/>
      <c r="G18" s="1304"/>
      <c r="H18" s="1304"/>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2134</v>
      </c>
      <c r="B19" s="1284" t="s">
        <v>2135</v>
      </c>
      <c r="C19" s="1284" t="s">
        <v>2136</v>
      </c>
      <c r="D19" s="1284" t="s">
        <v>2137</v>
      </c>
      <c r="E19" s="1284"/>
      <c r="F19" s="683"/>
      <c r="G19" s="683"/>
      <c r="H19" s="683"/>
      <c r="I19" s="349"/>
      <c r="J19" s="348"/>
      <c r="K19" s="343"/>
      <c r="L19" s="1311">
        <f>INDEX(PT_DIFFERENTIATION_NUM_NTAR,MATCH(A19,PT_DIFFERENTIATION_NTAR_ID,0))</f>
      </c>
      <c r="M19" s="278" t="s">
        <v>121</v>
      </c>
      <c r="N19" s="280"/>
      <c r="O19" s="2415">
        <f>INDEX(PT_DIFFERENTIATION_NTAR,MATCH(A19,PT_DIFFERENTIATION_NTAR_ID,0))</f>
      </c>
      <c r="P19" s="2415"/>
      <c r="Q19" s="2415"/>
      <c r="R19" s="2415"/>
      <c r="S19" s="2415"/>
      <c r="T19" s="2415"/>
      <c r="U19" s="2415"/>
      <c r="V19" s="2415"/>
      <c r="W19" s="2415"/>
      <c r="X19" s="1274" t="s">
        <v>382</v>
      </c>
      <c r="Z19" s="496"/>
      <c r="AA19" s="496" t="str">
        <f>IF(M19="","",M19)</f>
        <v>Наименование тарифа</v>
      </c>
      <c r="AB19" s="496"/>
      <c r="AC19" s="496"/>
    </row>
    <row customHeight="1" ht="21">
      <c r="A20" s="1284" t="s">
        <v>2134</v>
      </c>
      <c r="B20" s="1284" t="s">
        <v>2135</v>
      </c>
      <c r="C20" s="1284" t="s">
        <v>2136</v>
      </c>
      <c r="D20" s="1284" t="s">
        <v>2137</v>
      </c>
      <c r="E20" s="1284"/>
      <c r="F20" s="683"/>
      <c r="G20" s="683"/>
      <c r="H20" s="683"/>
      <c r="I20" s="1308"/>
      <c r="J20" s="340"/>
      <c r="K20" s="341"/>
      <c r="L20" s="1311">
        <f>INDEX(PT_DIFFERENTIATION_NUM_TER,MATCH(B19,PT_DIFFERENTIATION_TER_ID,0))</f>
      </c>
      <c r="M20" s="290" t="s">
        <v>383</v>
      </c>
      <c r="N20" s="280"/>
      <c r="O20" s="2415">
        <f>INDEX(PT_DIFFERENTIATION_TER,MATCH(B19,PT_DIFFERENTIATION_TER_ID,0))</f>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284" t="s">
        <v>2134</v>
      </c>
      <c r="B21" s="1284" t="s">
        <v>2135</v>
      </c>
      <c r="C21" s="1284" t="s">
        <v>2136</v>
      </c>
      <c r="D21" s="1284" t="s">
        <v>2137</v>
      </c>
      <c r="E21" s="1284"/>
      <c r="F21" s="683"/>
      <c r="G21" s="683"/>
      <c r="H21" s="683"/>
      <c r="I21" s="342"/>
      <c r="J21" s="340"/>
      <c r="K21" s="341"/>
      <c r="L21" s="1311">
        <f>INDEX(PT_DIFFERENTIATION_NUM_CS,MATCH(C19,PT_DIFFERENTIATION_CS_ID,0))</f>
      </c>
      <c r="M21" s="291" t="s">
        <v>385</v>
      </c>
      <c r="N21" s="280"/>
      <c r="O21" s="2415">
        <f>INDEX(PT_DIFFERENTIATION_CS,MATCH(C19,PT_DIFFERENTIATION_CS_ID,0))</f>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284" t="s">
        <v>2134</v>
      </c>
      <c r="B22" s="1284" t="s">
        <v>2135</v>
      </c>
      <c r="C22" s="1284" t="s">
        <v>2136</v>
      </c>
      <c r="D22" s="1284" t="s">
        <v>2137</v>
      </c>
      <c r="E22" s="1284"/>
      <c r="F22" s="683"/>
      <c r="G22" s="683"/>
      <c r="H22" s="683"/>
      <c r="I22" s="342"/>
      <c r="J22" s="340"/>
      <c r="K22" s="341"/>
      <c r="L22" s="1311">
        <f>INDEX(PT_DIFFERENTIATION_NUM_IST_TE,MATCH(D19,PT_DIFFERENTIATION_IST_TE_ID,0))</f>
      </c>
      <c r="M22" s="292" t="s">
        <v>387</v>
      </c>
      <c r="N22" s="280"/>
      <c r="O22" s="2415">
        <f>INDEX(PT_DIFFERENTIATION_IST_TE,MATCH(D19,PT_DIFFERENTIATION_IST_TE_ID,0))</f>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284" t="s">
        <v>2134</v>
      </c>
      <c r="B23" s="1284" t="s">
        <v>2135</v>
      </c>
      <c r="C23" s="1284" t="s">
        <v>2136</v>
      </c>
      <c r="D23" s="1284" t="s">
        <v>2137</v>
      </c>
      <c r="E23" s="1284"/>
      <c r="F23" s="1950">
        <f>L22&amp;".1"</f>
      </c>
      <c r="I23" s="2092">
        <v>1</v>
      </c>
      <c r="J23" s="1309"/>
      <c r="K23" s="344"/>
      <c r="L23" s="1311">
        <f>$F$23</f>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2134</v>
      </c>
      <c r="B24" s="1284" t="s">
        <v>2135</v>
      </c>
      <c r="C24" s="1284" t="s">
        <v>2136</v>
      </c>
      <c r="D24" s="1284" t="s">
        <v>2137</v>
      </c>
      <c r="E24" s="1284"/>
      <c r="F24" s="1950"/>
      <c r="G24" s="1934">
        <f>F23&amp;".1"</f>
      </c>
      <c r="I24" s="2092"/>
      <c r="J24" s="2092">
        <v>1</v>
      </c>
      <c r="K24" s="345"/>
      <c r="L24" s="1311">
        <f>$G$24</f>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284" t="s">
        <v>2134</v>
      </c>
      <c r="B25" s="1284" t="s">
        <v>2135</v>
      </c>
      <c r="C25" s="1284" t="s">
        <v>2136</v>
      </c>
      <c r="D25" s="1284" t="s">
        <v>2137</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284" t="s">
        <v>2134</v>
      </c>
      <c r="B26" s="1284" t="s">
        <v>2135</v>
      </c>
      <c r="C26" s="1284" t="s">
        <v>2136</v>
      </c>
      <c r="D26" s="1284" t="s">
        <v>2137</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2134</v>
      </c>
      <c r="B27" s="1284" t="s">
        <v>2135</v>
      </c>
      <c r="C27" s="1284" t="s">
        <v>2136</v>
      </c>
      <c r="D27" s="1284" t="s">
        <v>2137</v>
      </c>
      <c r="E27" s="1284"/>
      <c r="F27" s="1950"/>
      <c r="G27" s="1934"/>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2134</v>
      </c>
      <c r="B28" s="1284" t="s">
        <v>2135</v>
      </c>
      <c r="C28" s="1284" t="s">
        <v>2136</v>
      </c>
      <c r="D28" s="1284" t="s">
        <v>2137</v>
      </c>
      <c r="E28" s="1284"/>
      <c r="F28" s="1950"/>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2134</v>
      </c>
      <c r="B29" s="1284" t="s">
        <v>2135</v>
      </c>
      <c r="C29" s="1284" t="s">
        <v>2136</v>
      </c>
      <c r="D29" s="1284" t="s">
        <v>2137</v>
      </c>
      <c r="E29" s="1284"/>
      <c r="F29" s="683"/>
      <c r="G29" s="683"/>
      <c r="H29" s="505"/>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2134</v>
      </c>
      <c r="B30" s="1284" t="s">
        <v>2135</v>
      </c>
      <c r="C30" s="1284" t="s">
        <v>2136</v>
      </c>
      <c r="D30" s="1284"/>
      <c r="E30" s="1284" t="s">
        <v>564</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2134</v>
      </c>
      <c r="B31" s="1284" t="s">
        <v>2135</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2138</v>
      </c>
      <c r="B32" s="1284"/>
      <c r="C32" s="1284"/>
      <c r="D32" s="1284"/>
      <c r="E32" s="1284" t="s">
        <v>101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434</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696</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3506A-DDAA-9872-6DA5-A035A22D4545}"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2139</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409</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410</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2140</v>
      </c>
      <c r="R11" s="360" t="s">
        <v>2141</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413</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043" t="s">
        <v>84</v>
      </c>
      <c r="M15" s="2043" t="s">
        <v>2142</v>
      </c>
      <c r="N15" s="1220"/>
      <c r="O15" s="2043" t="s">
        <v>2143</v>
      </c>
      <c r="P15" s="2042" t="s">
        <v>2144</v>
      </c>
      <c r="Q15" s="2042" t="s">
        <v>2124</v>
      </c>
      <c r="R15" s="2042"/>
      <c r="S15" s="2042"/>
      <c r="T15" s="2042"/>
      <c r="U15" s="2042"/>
      <c r="V15" s="2043" t="s">
        <v>416</v>
      </c>
      <c r="W15" s="2428" t="s">
        <v>1040</v>
      </c>
      <c r="X15" s="1952"/>
    </row>
    <row customHeight="1" ht="25.5">
      <c r="J16" s="368"/>
      <c r="K16" s="368"/>
      <c r="L16" s="2043"/>
      <c r="M16" s="2043"/>
      <c r="N16" s="1220"/>
      <c r="O16" s="2043"/>
      <c r="P16" s="2042"/>
      <c r="Q16" s="2042" t="s">
        <v>2145</v>
      </c>
      <c r="R16" s="2042"/>
      <c r="S16" s="2134" t="s">
        <v>435</v>
      </c>
      <c r="T16" s="2134"/>
      <c r="U16" s="2134"/>
      <c r="V16" s="2043"/>
      <c r="W16" s="2428"/>
      <c r="X16" s="1952"/>
    </row>
    <row customHeight="1" ht="14.25">
      <c r="J17" s="368"/>
      <c r="K17" s="368"/>
      <c r="L17" s="2043"/>
      <c r="M17" s="2043"/>
      <c r="N17" s="1220"/>
      <c r="O17" s="2043"/>
      <c r="P17" s="2042"/>
      <c r="Q17" s="1220" t="s">
        <v>464</v>
      </c>
      <c r="R17" s="1220" t="s">
        <v>465</v>
      </c>
      <c r="S17" s="1224" t="s">
        <v>432</v>
      </c>
      <c r="T17" s="2425" t="s">
        <v>433</v>
      </c>
      <c r="U17" s="2425"/>
      <c r="V17" s="2043"/>
      <c r="W17" s="2428"/>
      <c r="X17" s="1952"/>
    </row>
    <row customHeight="1" ht="14.25">
      <c r="J18" s="368"/>
      <c r="K18" s="272">
        <v>1</v>
      </c>
      <c r="L18" s="444" t="s">
        <v>106</v>
      </c>
      <c r="M18" s="444" t="s">
        <v>107</v>
      </c>
      <c r="N18" s="1256" t="s">
        <v>107</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121</v>
      </c>
      <c r="N19" s="297"/>
      <c r="O19" s="2312"/>
      <c r="P19" s="2312"/>
      <c r="Q19" s="2312"/>
      <c r="R19" s="2312"/>
      <c r="S19" s="2312"/>
      <c r="T19" s="2312"/>
      <c r="U19" s="2312"/>
      <c r="V19" s="2312"/>
      <c r="W19" s="2312"/>
      <c r="X19" s="333" t="s">
        <v>382</v>
      </c>
    </row>
    <row customHeight="1" ht="22.5">
      <c r="A20" s="2092"/>
      <c r="B20" s="2092">
        <v>1</v>
      </c>
      <c r="C20" s="514"/>
      <c r="D20" s="514"/>
      <c r="E20" s="514"/>
      <c r="F20" s="514"/>
      <c r="G20" s="377"/>
      <c r="H20" s="1223"/>
      <c r="I20" s="351"/>
      <c r="J20" s="1230"/>
      <c r="K20" s="1151"/>
      <c r="L20" s="1229">
        <f>MERGEVALUE(A20)&amp;"."&amp;MERGEVALUE(B20)</f>
      </c>
      <c r="M20" s="290" t="s">
        <v>383</v>
      </c>
      <c r="N20" s="297"/>
      <c r="O20" s="2312"/>
      <c r="P20" s="2312"/>
      <c r="Q20" s="2312"/>
      <c r="R20" s="2312"/>
      <c r="S20" s="2312"/>
      <c r="T20" s="2312"/>
      <c r="U20" s="2312"/>
      <c r="V20" s="2312"/>
      <c r="W20" s="2312"/>
      <c r="X20" s="333" t="s">
        <v>384</v>
      </c>
    </row>
    <row customHeight="1" ht="22.5">
      <c r="A21" s="2092"/>
      <c r="B21" s="2092"/>
      <c r="C21" s="2092">
        <v>1</v>
      </c>
      <c r="D21" s="514"/>
      <c r="E21" s="514"/>
      <c r="F21" s="514"/>
      <c r="G21" s="377"/>
      <c r="H21" s="1223"/>
      <c r="I21" s="352"/>
      <c r="J21" s="1230"/>
      <c r="K21" s="1151"/>
      <c r="L21" s="1229">
        <f>MERGEVALUE(A21)&amp;"."&amp;MERGEVALUE(B21)&amp;"."&amp;MERGEVALUE(C21)</f>
      </c>
      <c r="M21" s="291" t="s">
        <v>385</v>
      </c>
      <c r="N21" s="297"/>
      <c r="O21" s="2312"/>
      <c r="P21" s="2312"/>
      <c r="Q21" s="2312"/>
      <c r="R21" s="2312"/>
      <c r="S21" s="2312"/>
      <c r="T21" s="2312"/>
      <c r="U21" s="2312"/>
      <c r="V21" s="2312"/>
      <c r="W21" s="2312"/>
      <c r="X21" s="333" t="s">
        <v>386</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387</v>
      </c>
      <c r="N22" s="297"/>
      <c r="O22" s="2312"/>
      <c r="P22" s="2312"/>
      <c r="Q22" s="2312"/>
      <c r="R22" s="2312"/>
      <c r="S22" s="2312"/>
      <c r="T22" s="2312"/>
      <c r="U22" s="2312"/>
      <c r="V22" s="2312"/>
      <c r="W22" s="2312"/>
      <c r="X22" s="325" t="s">
        <v>2146</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53</v>
      </c>
      <c r="U23" s="1262"/>
      <c r="V23" s="1218" t="s">
        <v>53</v>
      </c>
      <c r="W23" s="1263"/>
      <c r="X23" s="1996" t="s">
        <v>2147</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453</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564</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2125</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101</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434</v>
      </c>
      <c r="N29" s="355"/>
      <c r="O29" s="309"/>
      <c r="P29" s="309"/>
      <c r="Q29" s="309"/>
      <c r="R29" s="309"/>
      <c r="S29" s="313"/>
      <c r="T29" s="359"/>
      <c r="U29" s="358"/>
      <c r="V29" s="355"/>
      <c r="W29" s="359"/>
      <c r="X29" s="311"/>
      <c r="Y29" s="374"/>
      <c r="Z29" s="374"/>
      <c r="AA29" s="374"/>
      <c r="AB29" s="374"/>
      <c r="AC29" s="374"/>
    </row>
    <row r="31" customHeight="1" ht="14.25">
      <c r="L31" s="47">
        <v>1</v>
      </c>
      <c r="M31" s="2087" t="s">
        <v>2148</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59766-6729-5DB9-2A92-FB27CBC193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2A49F-AF0B-CD4A-06F3-C031C560E3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5E5E4-D90B-B5CA-99EC-C2876EA5B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76BC1-45C8-2C4D-B212-6CCA00BFB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F1DEB-2D16-9DF5-9D1E-0DB355DF89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4AC8-253D-0B48-B45C-00F061CDFA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734B2-C766-9849-592A-4586004BFE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61F2B-C4C4-1A74-C6D5-0CE2145F9D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46B1C-298F-502C-954B-E463F3BF7E55}"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283</v>
      </c>
    </row>
    <row customHeight="1" ht="11.25" hidden="1"/>
    <row s="473" customFormat="1" customHeight="1" ht="11.25">
      <c r="A3" s="1712"/>
      <c r="B3" s="497"/>
      <c r="D3" s="474"/>
    </row>
    <row customHeight="1" ht="25.5">
      <c r="D4" s="2000" t="str">
        <f>ORG_INFO_NAME_FORM</f>
        <v>Форма 1. Информация об организации, осуществляющей горячее водоснабжение (общая информация)</v>
      </c>
      <c r="E4" s="2001"/>
      <c r="F4" s="2002"/>
      <c r="I4" s="710"/>
    </row>
    <row customHeight="1" ht="17.25">
      <c r="D5" s="2034" t="str">
        <f>IF(org=0,"Не определено",org)</f>
        <v>ИМУП «ПОСЖИЛКОМСЕРВИС»</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284</v>
      </c>
      <c r="E8" s="2038"/>
      <c r="F8" s="2038"/>
      <c r="G8" s="2042" t="s">
        <v>285</v>
      </c>
    </row>
    <row customHeight="1" ht="11.25">
      <c r="A9" s="453"/>
      <c r="B9" s="498"/>
      <c r="C9" s="453"/>
      <c r="D9" s="468" t="s">
        <v>84</v>
      </c>
      <c r="E9" s="442" t="s">
        <v>286</v>
      </c>
      <c r="F9" s="442" t="s">
        <v>287</v>
      </c>
      <c r="G9" s="2043"/>
    </row>
    <row customHeight="1" ht="12" hidden="1">
      <c r="A10" s="453"/>
      <c r="B10" s="498"/>
      <c r="C10" s="453"/>
      <c r="D10" s="460"/>
      <c r="E10" s="460"/>
      <c r="F10" s="460"/>
      <c r="G10" s="460"/>
    </row>
    <row customHeight="1" ht="22.5" hidden="1">
      <c r="A11" s="453"/>
      <c r="B11" s="498"/>
      <c r="C11" s="453"/>
      <c r="D11" s="1005" t="s">
        <v>106</v>
      </c>
      <c r="E11" s="1008" t="s">
        <v>288</v>
      </c>
      <c r="F11" s="1007" t="str">
        <f>IF(region_name="","",region_name)</f>
        <v>Ненецкий автономный округ</v>
      </c>
      <c r="G11" s="1008" t="s">
        <v>289</v>
      </c>
      <c r="H11" s="471"/>
    </row>
    <row customHeight="1" ht="22.5" hidden="1">
      <c r="A12" s="453"/>
      <c r="B12" s="498"/>
      <c r="C12" s="453"/>
      <c r="D12" s="441" t="s">
        <v>106</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290</v>
      </c>
      <c r="G12" s="470"/>
      <c r="H12" s="471"/>
    </row>
    <row customHeight="1" ht="22.5">
      <c r="A13" s="453"/>
      <c r="B13" s="498"/>
      <c r="C13" s="453"/>
      <c r="D13" s="441" t="s">
        <v>106</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5" t="s">
        <v>291</v>
      </c>
      <c r="E14" s="1006" t="s">
        <v>292</v>
      </c>
      <c r="F14" s="1007" t="str">
        <f>IF(inn="","",inn)</f>
        <v>2983013920</v>
      </c>
      <c r="G14" s="1008" t="s">
        <v>293</v>
      </c>
      <c r="H14" s="471"/>
    </row>
    <row customHeight="1" ht="22.5" hidden="1">
      <c r="A15" s="453"/>
      <c r="B15" s="498"/>
      <c r="C15" s="453"/>
      <c r="D15" s="1005" t="s">
        <v>294</v>
      </c>
      <c r="E15" s="1006" t="s">
        <v>295</v>
      </c>
      <c r="F15" s="1007" t="str">
        <f>IF(kpp="","",kpp)</f>
        <v>298301001</v>
      </c>
      <c r="G15" s="1008" t="s">
        <v>296</v>
      </c>
      <c r="H15" s="471"/>
    </row>
    <row customHeight="1" ht="36.75">
      <c r="A16" s="453"/>
      <c r="B16" s="498"/>
      <c r="C16" s="453"/>
      <c r="D16" s="441" t="s">
        <v>107</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297</v>
      </c>
      <c r="F19" s="439" t="s">
        <v>290</v>
      </c>
      <c r="G19" s="440" t="s">
        <v>298</v>
      </c>
      <c r="H19" s="471"/>
      <c r="I19" s="847"/>
    </row>
    <row customHeight="1" ht="33.75" hidden="1">
      <c r="A20" s="2039"/>
      <c r="B20" s="498"/>
      <c r="C20" s="2044"/>
      <c r="D20" s="441" t="s">
        <v>299</v>
      </c>
      <c r="E20" s="435" t="s">
        <v>300</v>
      </c>
      <c r="F20" s="876" t="s">
        <v>18</v>
      </c>
      <c r="G20" s="470"/>
      <c r="H20" s="471"/>
      <c r="I20" s="847"/>
    </row>
    <row customHeight="1" ht="22.5" hidden="1">
      <c r="A21" s="2039"/>
      <c r="B21" s="498"/>
      <c r="C21" s="2044"/>
      <c r="D21" s="441" t="s">
        <v>301</v>
      </c>
      <c r="E21" s="435" t="s">
        <v>302</v>
      </c>
      <c r="F21" s="1758" t="s">
        <v>18</v>
      </c>
      <c r="G21" s="440" t="s">
        <v>303</v>
      </c>
      <c r="H21" s="471"/>
      <c r="I21" s="847"/>
    </row>
    <row customHeight="1" ht="22.5" hidden="1">
      <c r="A22" s="2039"/>
      <c r="B22" s="498"/>
      <c r="C22" s="2044"/>
      <c r="D22" s="441" t="s">
        <v>304</v>
      </c>
      <c r="E22" s="435" t="s">
        <v>305</v>
      </c>
      <c r="F22" s="876" t="s">
        <v>18</v>
      </c>
      <c r="G22" s="470"/>
      <c r="H22" s="471"/>
      <c r="I22" s="847"/>
    </row>
    <row customHeight="1" ht="22.5" hidden="1">
      <c r="A23" s="2039"/>
      <c r="B23" s="498"/>
      <c r="C23" s="2044"/>
      <c r="D23" s="441" t="s">
        <v>306</v>
      </c>
      <c r="E23" s="435" t="s">
        <v>307</v>
      </c>
      <c r="F23" s="876" t="s">
        <v>18</v>
      </c>
      <c r="G23" s="440" t="s">
        <v>308</v>
      </c>
      <c r="H23" s="471"/>
      <c r="I23" s="847"/>
    </row>
    <row s="497" customFormat="1" customHeight="1" ht="24.75" hidden="1">
      <c r="A24" s="453"/>
      <c r="B24" s="498"/>
      <c r="C24" s="498"/>
      <c r="D24" s="1002" t="s">
        <v>86</v>
      </c>
      <c r="E24" s="1004" t="s">
        <v>309</v>
      </c>
      <c r="F24" s="1009" t="s">
        <v>290</v>
      </c>
      <c r="G24" s="1004"/>
    </row>
    <row s="497" customFormat="1" customHeight="1" ht="11.25" hidden="1">
      <c r="A25" s="453"/>
      <c r="B25" s="498"/>
      <c r="C25" s="498"/>
      <c r="D25" s="1002" t="s">
        <v>310</v>
      </c>
      <c r="E25" s="1003" t="s">
        <v>311</v>
      </c>
      <c r="F25" s="1009" t="s">
        <v>290</v>
      </c>
      <c r="G25" s="1004"/>
    </row>
    <row s="497" customFormat="1" customHeight="1" ht="11.25" hidden="1">
      <c r="A26" s="453"/>
      <c r="B26" s="498"/>
      <c r="C26" s="498"/>
      <c r="D26" s="1002" t="s">
        <v>312</v>
      </c>
      <c r="E26" s="1010" t="s">
        <v>313</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314</v>
      </c>
      <c r="E27" s="1010" t="s">
        <v>315</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316</v>
      </c>
      <c r="E28" s="1010" t="s">
        <v>317</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318</v>
      </c>
      <c r="E29" s="1003" t="s">
        <v>319</v>
      </c>
      <c r="F29" s="1011"/>
      <c r="G29" s="1004"/>
    </row>
    <row s="497" customFormat="1" customHeight="1" ht="11.25" hidden="1">
      <c r="A30" s="453"/>
      <c r="B30" s="498"/>
      <c r="C30" s="498"/>
      <c r="D30" s="1002" t="s">
        <v>320</v>
      </c>
      <c r="E30" s="1003" t="s">
        <v>321</v>
      </c>
      <c r="F30" s="1011"/>
      <c r="G30" s="1004"/>
    </row>
    <row s="497" customFormat="1" customHeight="1" ht="11.25" hidden="1">
      <c r="A31" s="453"/>
      <c r="B31" s="498"/>
      <c r="C31" s="498"/>
      <c r="D31" s="1002" t="s">
        <v>322</v>
      </c>
      <c r="E31" s="1003" t="s">
        <v>323</v>
      </c>
      <c r="F31" s="1012"/>
      <c r="G31" s="1004"/>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290</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324</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324</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290</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2"/>
      <c r="F39" s="876"/>
      <c r="G39" s="2046"/>
      <c r="H39" s="471"/>
    </row>
    <row customHeight="1" ht="22.5">
      <c r="A40" s="453"/>
      <c r="B40" s="453"/>
      <c r="C40" s="1714"/>
      <c r="D40" s="436" t="str">
        <f>D38&amp;".1"</f>
        <v>8.1</v>
      </c>
      <c r="E40" s="855"/>
      <c r="F40" s="856"/>
      <c r="G40" s="2046"/>
      <c r="H40" s="471"/>
    </row>
    <row customHeight="1" ht="15">
      <c r="A41" s="453"/>
      <c r="B41" s="498"/>
      <c r="C41" s="453"/>
      <c r="D41" s="463"/>
      <c r="E41" s="412" t="s">
        <v>325</v>
      </c>
      <c r="F41" s="465"/>
      <c r="G41" s="2047"/>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326</v>
      </c>
      <c r="H43" s="471"/>
    </row>
    <row customHeight="1" ht="22.5">
      <c r="A44" s="453"/>
      <c r="B44" s="498"/>
      <c r="C44" s="453"/>
      <c r="D44" s="436">
        <f>D43+1</f>
        <v>11</v>
      </c>
      <c r="E44" s="434" t="s">
        <v>327</v>
      </c>
      <c r="F44" s="439" t="s">
        <v>290</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10"/>
      <c r="G45" s="433" t="s">
        <v>328</v>
      </c>
      <c r="H45" s="471"/>
    </row>
    <row customHeight="1" ht="22.5">
      <c r="A46" s="2035"/>
      <c r="B46" s="498"/>
      <c r="C46" s="488"/>
      <c r="D46" s="436" t="str">
        <f>D44&amp;".2"</f>
        <v>11.2</v>
      </c>
      <c r="E46" s="438" t="s">
        <v>329</v>
      </c>
      <c r="F46" s="486"/>
      <c r="G46" s="433" t="s">
        <v>330</v>
      </c>
      <c r="H46" s="471"/>
    </row>
    <row customHeight="1" ht="22.5">
      <c r="A47" s="2035"/>
      <c r="B47" s="498"/>
      <c r="C47" s="488"/>
      <c r="D47" s="436" t="str">
        <f>D44&amp;".3"</f>
        <v>11.3</v>
      </c>
      <c r="E47" s="438" t="s">
        <v>331</v>
      </c>
      <c r="F47" s="486"/>
      <c r="G47" s="433" t="s">
        <v>332</v>
      </c>
      <c r="H47" s="471"/>
    </row>
    <row customHeight="1" ht="22.5">
      <c r="A48" s="2035"/>
      <c r="B48" s="498"/>
      <c r="C48" s="488"/>
      <c r="D48" s="436" t="str">
        <f>IF(TEMPLATE_SPHERE="TKO",D44&amp;".0",D44&amp;".4")</f>
        <v>11.4</v>
      </c>
      <c r="E48" s="432" t="s">
        <v>333</v>
      </c>
      <c r="F48" s="1711"/>
      <c r="G48" s="1787" t="s">
        <v>334</v>
      </c>
      <c r="H48" s="471"/>
    </row>
    <row customHeight="1" ht="22.5">
      <c r="A49" s="453"/>
      <c r="B49" s="498"/>
      <c r="C49" s="453"/>
      <c r="D49" s="463"/>
      <c r="E49" s="412" t="s">
        <v>335</v>
      </c>
      <c r="F49" s="464"/>
      <c r="G49" s="1787" t="s">
        <v>336</v>
      </c>
      <c r="H49" s="472"/>
    </row>
    <row customHeight="1" ht="22.5">
      <c r="A50" s="853"/>
      <c r="B50" s="498"/>
      <c r="C50" s="488"/>
      <c r="D50" s="436">
        <f>D44+1</f>
        <v>12</v>
      </c>
      <c r="E50" s="524" t="s">
        <v>337</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5C417-8A8C-2FAF-19C1-BDAA570585F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2149</v>
      </c>
      <c r="B1" s="760" t="s">
        <v>2150</v>
      </c>
      <c r="C1" s="2433" t="s">
        <v>2151</v>
      </c>
      <c r="D1" s="2434"/>
      <c r="E1" s="831" t="s">
        <v>2152</v>
      </c>
    </row>
    <row customHeight="1" ht="11.25">
      <c r="A2" s="753"/>
      <c r="B2" s="761" t="s">
        <v>23</v>
      </c>
      <c r="C2" s="749"/>
      <c r="D2" s="760"/>
      <c r="E2" s="831"/>
    </row>
    <row customHeight="1" ht="11.25">
      <c r="A3" s="764"/>
      <c r="B3" s="762" t="s">
        <v>29</v>
      </c>
      <c r="C3" s="749"/>
      <c r="D3" s="760"/>
      <c r="E3" s="831"/>
    </row>
    <row customHeight="1" ht="11.25">
      <c r="A4" s="765"/>
      <c r="B4" s="762" t="s">
        <v>1644</v>
      </c>
      <c r="C4" s="749"/>
      <c r="D4" s="760"/>
      <c r="E4" s="831"/>
    </row>
    <row customHeight="1" ht="11.25">
      <c r="A5" s="776"/>
      <c r="B5" s="762" t="s">
        <v>1638</v>
      </c>
      <c r="C5" s="752" t="s">
        <v>1888</v>
      </c>
      <c r="D5" s="875" t="s">
        <v>2153</v>
      </c>
      <c r="E5" s="831"/>
    </row>
    <row s="2437" customFormat="1" customHeight="1" ht="11.25">
      <c r="A6" s="763"/>
      <c r="B6" s="762" t="s">
        <v>1648</v>
      </c>
      <c r="C6" s="749"/>
      <c r="D6" s="760"/>
      <c r="E6" s="831"/>
    </row>
    <row customHeight="1" ht="11.25">
      <c r="A7" s="751"/>
      <c r="B7" s="762" t="s">
        <v>1656</v>
      </c>
      <c r="C7" s="749"/>
      <c r="D7" s="760"/>
      <c r="E7" s="831"/>
    </row>
    <row customHeight="1" ht="11.25">
      <c r="A8" s="752"/>
      <c r="B8" s="762" t="s">
        <v>1651</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284F6-31B2-91C8-0E2C-7D31810963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B037-FD02-5DD8-86C2-2D6B7ADEF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2E26F-C0BF-4D1D-1EFD-8947A039B119}" mc:Ignorable="x14ac xr xr2 xr3">
  <sheetPr>
    <tabColor rgb="FFFFCC99"/>
  </sheetPr>
  <dimension ref="A1:I5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2154</v>
      </c>
      <c r="B1" s="0" t="s">
        <v>2155</v>
      </c>
      <c r="C1" s="0" t="s">
        <v>2156</v>
      </c>
      <c r="D1" s="0" t="s">
        <v>2157</v>
      </c>
      <c r="E1" s="0" t="s">
        <v>2158</v>
      </c>
      <c r="F1" s="0" t="s">
        <v>2159</v>
      </c>
      <c r="G1" s="0" t="s">
        <v>2160</v>
      </c>
      <c r="H1" s="0" t="s">
        <v>2161</v>
      </c>
      <c r="I1" s="0" t="s">
        <v>2162</v>
      </c>
    </row>
    <row customHeight="1" ht="11.25">
      <c r="A2" s="2437" t="s">
        <v>2163</v>
      </c>
      <c r="B2" s="2437" t="s">
        <v>14</v>
      </c>
      <c r="C2" s="2437" t="s">
        <v>2164</v>
      </c>
      <c r="D2" s="2437" t="s">
        <v>2165</v>
      </c>
      <c r="E2" s="2437" t="s">
        <v>2166</v>
      </c>
      <c r="F2" s="2437" t="s">
        <v>2167</v>
      </c>
      <c r="G2" s="2437" t="s">
        <v>18</v>
      </c>
      <c r="H2" s="2437" t="s">
        <v>18</v>
      </c>
      <c r="I2" s="2437" t="s">
        <v>700</v>
      </c>
    </row>
    <row customHeight="1" ht="11.25">
      <c r="A3" s="2437" t="s">
        <v>2163</v>
      </c>
      <c r="B3" s="2437" t="s">
        <v>14</v>
      </c>
      <c r="C3" s="2437" t="s">
        <v>2168</v>
      </c>
      <c r="D3" s="2437" t="s">
        <v>2169</v>
      </c>
      <c r="E3" s="2437" t="s">
        <v>2170</v>
      </c>
      <c r="F3" s="2437" t="s">
        <v>48</v>
      </c>
      <c r="G3" s="2437" t="s">
        <v>18</v>
      </c>
      <c r="H3" s="2437" t="s">
        <v>18</v>
      </c>
      <c r="I3" s="2437" t="s">
        <v>700</v>
      </c>
    </row>
    <row customHeight="1" ht="11.25">
      <c r="A4" s="2437" t="s">
        <v>2163</v>
      </c>
      <c r="B4" s="2437" t="s">
        <v>14</v>
      </c>
      <c r="C4" s="2437" t="s">
        <v>2171</v>
      </c>
      <c r="D4" s="2437" t="s">
        <v>2172</v>
      </c>
      <c r="E4" s="2437" t="s">
        <v>2173</v>
      </c>
      <c r="F4" s="2437" t="s">
        <v>48</v>
      </c>
      <c r="G4" s="2437" t="s">
        <v>18</v>
      </c>
      <c r="H4" s="2437" t="s">
        <v>18</v>
      </c>
      <c r="I4" s="2437" t="s">
        <v>700</v>
      </c>
    </row>
    <row customHeight="1" ht="11.25">
      <c r="A5" s="2437" t="s">
        <v>2163</v>
      </c>
      <c r="B5" s="2437" t="s">
        <v>14</v>
      </c>
      <c r="C5" s="2437" t="s">
        <v>2174</v>
      </c>
      <c r="D5" s="2437" t="s">
        <v>43</v>
      </c>
      <c r="E5" s="2437" t="s">
        <v>46</v>
      </c>
      <c r="F5" s="2437" t="s">
        <v>48</v>
      </c>
      <c r="G5" s="2437" t="s">
        <v>18</v>
      </c>
      <c r="H5" s="2437" t="s">
        <v>18</v>
      </c>
      <c r="I5" s="2437" t="s">
        <v>700</v>
      </c>
    </row>
    <row customHeight="1" ht="11.25">
      <c r="A6" s="2437" t="s">
        <v>2163</v>
      </c>
      <c r="B6" s="2437" t="s">
        <v>14</v>
      </c>
      <c r="C6" s="2437" t="s">
        <v>2175</v>
      </c>
      <c r="D6" s="2437" t="s">
        <v>2176</v>
      </c>
      <c r="E6" s="2437" t="s">
        <v>2177</v>
      </c>
      <c r="F6" s="2437" t="s">
        <v>48</v>
      </c>
      <c r="G6" s="2437" t="s">
        <v>18</v>
      </c>
      <c r="H6" s="2437" t="s">
        <v>18</v>
      </c>
      <c r="I6" s="2437" t="s">
        <v>700</v>
      </c>
    </row>
    <row customHeight="1" ht="11.25">
      <c r="A7" s="2437" t="s">
        <v>2163</v>
      </c>
      <c r="B7" s="2437" t="s">
        <v>14</v>
      </c>
      <c r="C7" s="2437" t="s">
        <v>2178</v>
      </c>
      <c r="D7" s="2437" t="s">
        <v>2179</v>
      </c>
      <c r="E7" s="2437" t="s">
        <v>2180</v>
      </c>
      <c r="F7" s="2437" t="s">
        <v>48</v>
      </c>
      <c r="G7" s="2437" t="s">
        <v>18</v>
      </c>
      <c r="H7" s="2437" t="s">
        <v>18</v>
      </c>
      <c r="I7" s="2437" t="s">
        <v>700</v>
      </c>
    </row>
    <row customHeight="1" ht="11.25">
      <c r="A8" s="2437" t="s">
        <v>2163</v>
      </c>
      <c r="B8" s="2437" t="s">
        <v>14</v>
      </c>
      <c r="C8" s="2437" t="s">
        <v>2181</v>
      </c>
      <c r="D8" s="2437" t="s">
        <v>2182</v>
      </c>
      <c r="E8" s="2437" t="s">
        <v>2183</v>
      </c>
      <c r="F8" s="2437" t="s">
        <v>48</v>
      </c>
      <c r="G8" s="2437" t="s">
        <v>18</v>
      </c>
      <c r="H8" s="2437" t="s">
        <v>18</v>
      </c>
      <c r="I8" s="2437" t="s">
        <v>700</v>
      </c>
    </row>
    <row customHeight="1" ht="11.25">
      <c r="A9" s="2437" t="s">
        <v>2163</v>
      </c>
      <c r="B9" s="2437" t="s">
        <v>14</v>
      </c>
      <c r="C9" s="2437" t="s">
        <v>2184</v>
      </c>
      <c r="D9" s="2437" t="s">
        <v>2185</v>
      </c>
      <c r="E9" s="2437" t="s">
        <v>2186</v>
      </c>
      <c r="F9" s="2437" t="s">
        <v>48</v>
      </c>
      <c r="G9" s="2437" t="s">
        <v>2187</v>
      </c>
      <c r="H9" s="2437" t="s">
        <v>18</v>
      </c>
      <c r="I9" s="2437" t="s">
        <v>700</v>
      </c>
    </row>
    <row customHeight="1" ht="11.25">
      <c r="A10" s="2437" t="s">
        <v>2163</v>
      </c>
      <c r="B10" s="2437" t="s">
        <v>14</v>
      </c>
      <c r="C10" s="2437" t="s">
        <v>2188</v>
      </c>
      <c r="D10" s="2437" t="s">
        <v>2189</v>
      </c>
      <c r="E10" s="2437" t="s">
        <v>2190</v>
      </c>
      <c r="F10" s="2437" t="s">
        <v>2191</v>
      </c>
      <c r="G10" s="2437" t="s">
        <v>18</v>
      </c>
      <c r="H10" s="2437" t="s">
        <v>18</v>
      </c>
      <c r="I10" s="2437" t="s">
        <v>700</v>
      </c>
    </row>
    <row customHeight="1" ht="11.25">
      <c r="A11" s="2437" t="s">
        <v>2163</v>
      </c>
      <c r="B11" s="2437" t="s">
        <v>14</v>
      </c>
      <c r="C11" s="2437" t="s">
        <v>2192</v>
      </c>
      <c r="D11" s="2437" t="s">
        <v>2193</v>
      </c>
      <c r="E11" s="2437" t="s">
        <v>2194</v>
      </c>
      <c r="F11" s="2437" t="s">
        <v>2195</v>
      </c>
      <c r="G11" s="2437" t="s">
        <v>18</v>
      </c>
      <c r="H11" s="2437" t="s">
        <v>18</v>
      </c>
      <c r="I11" s="2437" t="s">
        <v>700</v>
      </c>
    </row>
    <row customHeight="1" ht="11.25">
      <c r="A12" s="2437" t="s">
        <v>2163</v>
      </c>
      <c r="B12" s="2437" t="s">
        <v>14</v>
      </c>
      <c r="C12" s="2437" t="s">
        <v>2196</v>
      </c>
      <c r="D12" s="2437" t="s">
        <v>2197</v>
      </c>
      <c r="E12" s="2437" t="s">
        <v>2198</v>
      </c>
      <c r="F12" s="2437" t="s">
        <v>48</v>
      </c>
      <c r="G12" s="2437" t="s">
        <v>18</v>
      </c>
      <c r="H12" s="2437" t="s">
        <v>18</v>
      </c>
      <c r="I12" s="2437" t="s">
        <v>700</v>
      </c>
    </row>
    <row customHeight="1" ht="11.25">
      <c r="A13" s="2437" t="s">
        <v>2163</v>
      </c>
      <c r="B13" s="2437" t="s">
        <v>14</v>
      </c>
      <c r="C13" s="2437" t="s">
        <v>2199</v>
      </c>
      <c r="D13" s="2437" t="s">
        <v>2200</v>
      </c>
      <c r="E13" s="2437" t="s">
        <v>2166</v>
      </c>
      <c r="F13" s="2437" t="s">
        <v>2201</v>
      </c>
      <c r="G13" s="2437" t="s">
        <v>2202</v>
      </c>
      <c r="H13" s="2437" t="s">
        <v>18</v>
      </c>
      <c r="I13" s="2437" t="s">
        <v>700</v>
      </c>
    </row>
    <row customHeight="1" ht="11.25">
      <c r="A14" s="2437" t="s">
        <v>2163</v>
      </c>
      <c r="B14" s="2437" t="s">
        <v>14</v>
      </c>
      <c r="C14" s="2437" t="s">
        <v>18</v>
      </c>
      <c r="D14" s="2437" t="s">
        <v>2203</v>
      </c>
      <c r="E14" s="2437" t="s">
        <v>2204</v>
      </c>
      <c r="F14" s="2437" t="s">
        <v>48</v>
      </c>
      <c r="G14" s="2437" t="s">
        <v>18</v>
      </c>
      <c r="H14" s="2437" t="s">
        <v>18</v>
      </c>
      <c r="I14" s="2437" t="s">
        <v>700</v>
      </c>
    </row>
    <row customHeight="1" ht="11.25">
      <c r="A15" s="2437" t="s">
        <v>2163</v>
      </c>
      <c r="B15" s="2437" t="s">
        <v>14</v>
      </c>
      <c r="C15" s="2437" t="s">
        <v>2205</v>
      </c>
      <c r="D15" s="2437" t="s">
        <v>2206</v>
      </c>
      <c r="E15" s="2437" t="s">
        <v>2207</v>
      </c>
      <c r="F15" s="2437" t="s">
        <v>2208</v>
      </c>
      <c r="G15" s="2437" t="s">
        <v>18</v>
      </c>
      <c r="H15" s="2437" t="s">
        <v>18</v>
      </c>
      <c r="I15" s="2437" t="s">
        <v>700</v>
      </c>
    </row>
    <row customHeight="1" ht="11.25">
      <c r="A16" s="2437" t="s">
        <v>2163</v>
      </c>
      <c r="B16" s="2437" t="s">
        <v>14</v>
      </c>
      <c r="C16" s="2437" t="s">
        <v>2209</v>
      </c>
      <c r="D16" s="2437" t="s">
        <v>2210</v>
      </c>
      <c r="E16" s="2437" t="s">
        <v>2207</v>
      </c>
      <c r="F16" s="2437" t="s">
        <v>2211</v>
      </c>
      <c r="G16" s="2437" t="s">
        <v>2212</v>
      </c>
      <c r="H16" s="2437" t="s">
        <v>18</v>
      </c>
      <c r="I16" s="2437" t="s">
        <v>700</v>
      </c>
    </row>
    <row customHeight="1" ht="11.25">
      <c r="A17" s="2437" t="s">
        <v>2163</v>
      </c>
      <c r="B17" s="2437" t="s">
        <v>14</v>
      </c>
      <c r="C17" s="2437" t="s">
        <v>2164</v>
      </c>
      <c r="D17" s="2437" t="s">
        <v>2165</v>
      </c>
      <c r="E17" s="2437" t="s">
        <v>2166</v>
      </c>
      <c r="F17" s="2437" t="s">
        <v>2167</v>
      </c>
      <c r="G17" s="2437" t="s">
        <v>18</v>
      </c>
      <c r="H17" s="2437" t="s">
        <v>18</v>
      </c>
      <c r="I17" s="2437" t="s">
        <v>784</v>
      </c>
    </row>
    <row customHeight="1" ht="11.25">
      <c r="A18" s="2437" t="s">
        <v>2163</v>
      </c>
      <c r="B18" s="2437" t="s">
        <v>14</v>
      </c>
      <c r="C18" s="2437" t="s">
        <v>2168</v>
      </c>
      <c r="D18" s="2437" t="s">
        <v>2169</v>
      </c>
      <c r="E18" s="2437" t="s">
        <v>2170</v>
      </c>
      <c r="F18" s="2437" t="s">
        <v>48</v>
      </c>
      <c r="G18" s="2437" t="s">
        <v>18</v>
      </c>
      <c r="H18" s="2437" t="s">
        <v>18</v>
      </c>
      <c r="I18" s="2437" t="s">
        <v>784</v>
      </c>
    </row>
    <row customHeight="1" ht="11.25">
      <c r="A19" s="2437" t="s">
        <v>2163</v>
      </c>
      <c r="B19" s="2437" t="s">
        <v>14</v>
      </c>
      <c r="C19" s="2437" t="s">
        <v>2171</v>
      </c>
      <c r="D19" s="2437" t="s">
        <v>2172</v>
      </c>
      <c r="E19" s="2437" t="s">
        <v>2173</v>
      </c>
      <c r="F19" s="2437" t="s">
        <v>48</v>
      </c>
      <c r="G19" s="2437" t="s">
        <v>18</v>
      </c>
      <c r="H19" s="2437" t="s">
        <v>18</v>
      </c>
      <c r="I19" s="2437" t="s">
        <v>784</v>
      </c>
    </row>
    <row customHeight="1" ht="11.25">
      <c r="A20" s="2437" t="s">
        <v>2163</v>
      </c>
      <c r="B20" s="2437" t="s">
        <v>14</v>
      </c>
      <c r="C20" s="2437" t="s">
        <v>2174</v>
      </c>
      <c r="D20" s="2437" t="s">
        <v>43</v>
      </c>
      <c r="E20" s="2437" t="s">
        <v>46</v>
      </c>
      <c r="F20" s="2437" t="s">
        <v>48</v>
      </c>
      <c r="G20" s="2437" t="s">
        <v>18</v>
      </c>
      <c r="H20" s="2437" t="s">
        <v>18</v>
      </c>
      <c r="I20" s="2437" t="s">
        <v>784</v>
      </c>
    </row>
    <row customHeight="1" ht="11.25">
      <c r="A21" s="2437" t="s">
        <v>2163</v>
      </c>
      <c r="B21" s="2437" t="s">
        <v>14</v>
      </c>
      <c r="C21" s="2437" t="s">
        <v>2175</v>
      </c>
      <c r="D21" s="2437" t="s">
        <v>2176</v>
      </c>
      <c r="E21" s="2437" t="s">
        <v>2177</v>
      </c>
      <c r="F21" s="2437" t="s">
        <v>48</v>
      </c>
      <c r="G21" s="2437" t="s">
        <v>18</v>
      </c>
      <c r="H21" s="2437" t="s">
        <v>18</v>
      </c>
      <c r="I21" s="2437" t="s">
        <v>784</v>
      </c>
    </row>
    <row customHeight="1" ht="11.25">
      <c r="A22" s="2437" t="s">
        <v>2163</v>
      </c>
      <c r="B22" s="2437" t="s">
        <v>14</v>
      </c>
      <c r="C22" s="2437" t="s">
        <v>2181</v>
      </c>
      <c r="D22" s="2437" t="s">
        <v>2182</v>
      </c>
      <c r="E22" s="2437" t="s">
        <v>2183</v>
      </c>
      <c r="F22" s="2437" t="s">
        <v>48</v>
      </c>
      <c r="G22" s="2437" t="s">
        <v>18</v>
      </c>
      <c r="H22" s="2437" t="s">
        <v>18</v>
      </c>
      <c r="I22" s="2437" t="s">
        <v>784</v>
      </c>
    </row>
    <row customHeight="1" ht="11.25">
      <c r="A23" s="2437" t="s">
        <v>2163</v>
      </c>
      <c r="B23" s="2437" t="s">
        <v>14</v>
      </c>
      <c r="C23" s="2437" t="s">
        <v>2184</v>
      </c>
      <c r="D23" s="2437" t="s">
        <v>2185</v>
      </c>
      <c r="E23" s="2437" t="s">
        <v>2186</v>
      </c>
      <c r="F23" s="2437" t="s">
        <v>48</v>
      </c>
      <c r="G23" s="2437" t="s">
        <v>2187</v>
      </c>
      <c r="H23" s="2437" t="s">
        <v>18</v>
      </c>
      <c r="I23" s="2437" t="s">
        <v>784</v>
      </c>
    </row>
    <row customHeight="1" ht="11.25">
      <c r="A24" s="2437" t="s">
        <v>2163</v>
      </c>
      <c r="B24" s="2437" t="s">
        <v>14</v>
      </c>
      <c r="C24" s="2437" t="s">
        <v>2188</v>
      </c>
      <c r="D24" s="2437" t="s">
        <v>2189</v>
      </c>
      <c r="E24" s="2437" t="s">
        <v>2190</v>
      </c>
      <c r="F24" s="2437" t="s">
        <v>2191</v>
      </c>
      <c r="G24" s="2437" t="s">
        <v>18</v>
      </c>
      <c r="H24" s="2437" t="s">
        <v>18</v>
      </c>
      <c r="I24" s="2437" t="s">
        <v>784</v>
      </c>
    </row>
    <row customHeight="1" ht="11.25">
      <c r="A25" s="2437" t="s">
        <v>2163</v>
      </c>
      <c r="B25" s="2437" t="s">
        <v>14</v>
      </c>
      <c r="C25" s="2437" t="s">
        <v>2199</v>
      </c>
      <c r="D25" s="2437" t="s">
        <v>2200</v>
      </c>
      <c r="E25" s="2437" t="s">
        <v>2166</v>
      </c>
      <c r="F25" s="2437" t="s">
        <v>2201</v>
      </c>
      <c r="G25" s="2437" t="s">
        <v>2202</v>
      </c>
      <c r="H25" s="2437" t="s">
        <v>18</v>
      </c>
      <c r="I25" s="2437" t="s">
        <v>784</v>
      </c>
    </row>
    <row customHeight="1" ht="11.25">
      <c r="A26" s="2437" t="s">
        <v>2163</v>
      </c>
      <c r="B26" s="2437" t="s">
        <v>14</v>
      </c>
      <c r="C26" s="2437" t="s">
        <v>18</v>
      </c>
      <c r="D26" s="2437" t="s">
        <v>2203</v>
      </c>
      <c r="E26" s="2437" t="s">
        <v>2204</v>
      </c>
      <c r="F26" s="2437" t="s">
        <v>48</v>
      </c>
      <c r="G26" s="2437" t="s">
        <v>18</v>
      </c>
      <c r="H26" s="2437" t="s">
        <v>18</v>
      </c>
      <c r="I26" s="2437" t="s">
        <v>784</v>
      </c>
    </row>
    <row customHeight="1" ht="11.25">
      <c r="A27" s="2437" t="s">
        <v>2163</v>
      </c>
      <c r="B27" s="2437" t="s">
        <v>14</v>
      </c>
      <c r="C27" s="2437" t="s">
        <v>2209</v>
      </c>
      <c r="D27" s="2437" t="s">
        <v>2210</v>
      </c>
      <c r="E27" s="2437" t="s">
        <v>2207</v>
      </c>
      <c r="F27" s="2437" t="s">
        <v>2211</v>
      </c>
      <c r="G27" s="2437" t="s">
        <v>2212</v>
      </c>
      <c r="H27" s="2437" t="s">
        <v>18</v>
      </c>
      <c r="I27" s="2437" t="s">
        <v>784</v>
      </c>
    </row>
    <row customHeight="1" ht="11.25">
      <c r="A28" s="2437" t="s">
        <v>2163</v>
      </c>
      <c r="B28" s="2437" t="s">
        <v>14</v>
      </c>
      <c r="C28" s="2437" t="s">
        <v>2164</v>
      </c>
      <c r="D28" s="2437" t="s">
        <v>2165</v>
      </c>
      <c r="E28" s="2437" t="s">
        <v>2166</v>
      </c>
      <c r="F28" s="2437" t="s">
        <v>2167</v>
      </c>
      <c r="G28" s="2437" t="s">
        <v>18</v>
      </c>
      <c r="H28" s="2437" t="s">
        <v>18</v>
      </c>
      <c r="I28" s="2437" t="s">
        <v>746</v>
      </c>
    </row>
    <row customHeight="1" ht="11.25">
      <c r="A29" s="2437" t="s">
        <v>2163</v>
      </c>
      <c r="B29" s="2437" t="s">
        <v>14</v>
      </c>
      <c r="C29" s="2437" t="s">
        <v>2171</v>
      </c>
      <c r="D29" s="2437" t="s">
        <v>2172</v>
      </c>
      <c r="E29" s="2437" t="s">
        <v>2173</v>
      </c>
      <c r="F29" s="2437" t="s">
        <v>48</v>
      </c>
      <c r="G29" s="2437" t="s">
        <v>18</v>
      </c>
      <c r="H29" s="2437" t="s">
        <v>18</v>
      </c>
      <c r="I29" s="2437" t="s">
        <v>746</v>
      </c>
    </row>
    <row customHeight="1" ht="11.25">
      <c r="A30" s="2437" t="s">
        <v>2163</v>
      </c>
      <c r="B30" s="2437" t="s">
        <v>14</v>
      </c>
      <c r="C30" s="2437" t="s">
        <v>2174</v>
      </c>
      <c r="D30" s="2437" t="s">
        <v>43</v>
      </c>
      <c r="E30" s="2437" t="s">
        <v>46</v>
      </c>
      <c r="F30" s="2437" t="s">
        <v>48</v>
      </c>
      <c r="G30" s="2437" t="s">
        <v>18</v>
      </c>
      <c r="H30" s="2437" t="s">
        <v>18</v>
      </c>
      <c r="I30" s="2437" t="s">
        <v>746</v>
      </c>
    </row>
    <row customHeight="1" ht="11.25">
      <c r="A31" s="2437" t="s">
        <v>2163</v>
      </c>
      <c r="B31" s="2437" t="s">
        <v>14</v>
      </c>
      <c r="C31" s="2437" t="s">
        <v>2213</v>
      </c>
      <c r="D31" s="2437" t="s">
        <v>2214</v>
      </c>
      <c r="E31" s="2437" t="s">
        <v>2215</v>
      </c>
      <c r="F31" s="2437" t="s">
        <v>48</v>
      </c>
      <c r="G31" s="2437" t="s">
        <v>18</v>
      </c>
      <c r="H31" s="2437" t="s">
        <v>18</v>
      </c>
      <c r="I31" s="2437" t="s">
        <v>746</v>
      </c>
    </row>
    <row customHeight="1" ht="11.25">
      <c r="A32" s="2437" t="s">
        <v>2163</v>
      </c>
      <c r="B32" s="2437" t="s">
        <v>14</v>
      </c>
      <c r="C32" s="2437" t="s">
        <v>2216</v>
      </c>
      <c r="D32" s="2437" t="s">
        <v>2217</v>
      </c>
      <c r="E32" s="2437" t="s">
        <v>2218</v>
      </c>
      <c r="F32" s="2437" t="s">
        <v>48</v>
      </c>
      <c r="G32" s="2437" t="s">
        <v>2219</v>
      </c>
      <c r="H32" s="2437" t="s">
        <v>18</v>
      </c>
      <c r="I32" s="2437" t="s">
        <v>746</v>
      </c>
    </row>
    <row customHeight="1" ht="11.25">
      <c r="A33" s="2437" t="s">
        <v>2163</v>
      </c>
      <c r="B33" s="2437" t="s">
        <v>14</v>
      </c>
      <c r="C33" s="2437" t="s">
        <v>2220</v>
      </c>
      <c r="D33" s="2437" t="s">
        <v>2221</v>
      </c>
      <c r="E33" s="2437" t="s">
        <v>2222</v>
      </c>
      <c r="F33" s="2437" t="s">
        <v>48</v>
      </c>
      <c r="G33" s="2437" t="s">
        <v>18</v>
      </c>
      <c r="H33" s="2437" t="s">
        <v>18</v>
      </c>
      <c r="I33" s="2437" t="s">
        <v>746</v>
      </c>
    </row>
    <row customHeight="1" ht="11.25">
      <c r="A34" s="2437" t="s">
        <v>2163</v>
      </c>
      <c r="B34" s="2437" t="s">
        <v>14</v>
      </c>
      <c r="C34" s="2437" t="s">
        <v>2223</v>
      </c>
      <c r="D34" s="2437" t="s">
        <v>2224</v>
      </c>
      <c r="E34" s="2437" t="s">
        <v>2225</v>
      </c>
      <c r="F34" s="2437" t="s">
        <v>48</v>
      </c>
      <c r="G34" s="2437" t="s">
        <v>2226</v>
      </c>
      <c r="H34" s="2437" t="s">
        <v>18</v>
      </c>
      <c r="I34" s="2437" t="s">
        <v>746</v>
      </c>
    </row>
    <row customHeight="1" ht="11.25">
      <c r="A35" s="2437" t="s">
        <v>2163</v>
      </c>
      <c r="B35" s="2437" t="s">
        <v>14</v>
      </c>
      <c r="C35" s="2437" t="s">
        <v>2175</v>
      </c>
      <c r="D35" s="2437" t="s">
        <v>2176</v>
      </c>
      <c r="E35" s="2437" t="s">
        <v>2177</v>
      </c>
      <c r="F35" s="2437" t="s">
        <v>48</v>
      </c>
      <c r="G35" s="2437" t="s">
        <v>18</v>
      </c>
      <c r="H35" s="2437" t="s">
        <v>18</v>
      </c>
      <c r="I35" s="2437" t="s">
        <v>746</v>
      </c>
    </row>
    <row customHeight="1" ht="11.25">
      <c r="A36" s="2437" t="s">
        <v>2163</v>
      </c>
      <c r="B36" s="2437" t="s">
        <v>14</v>
      </c>
      <c r="C36" s="2437" t="s">
        <v>2178</v>
      </c>
      <c r="D36" s="2437" t="s">
        <v>2179</v>
      </c>
      <c r="E36" s="2437" t="s">
        <v>2180</v>
      </c>
      <c r="F36" s="2437" t="s">
        <v>48</v>
      </c>
      <c r="G36" s="2437" t="s">
        <v>18</v>
      </c>
      <c r="H36" s="2437" t="s">
        <v>18</v>
      </c>
      <c r="I36" s="2437" t="s">
        <v>746</v>
      </c>
    </row>
    <row customHeight="1" ht="11.25">
      <c r="A37" s="2437" t="s">
        <v>2163</v>
      </c>
      <c r="B37" s="2437" t="s">
        <v>14</v>
      </c>
      <c r="C37" s="2437" t="s">
        <v>2181</v>
      </c>
      <c r="D37" s="2437" t="s">
        <v>2182</v>
      </c>
      <c r="E37" s="2437" t="s">
        <v>2183</v>
      </c>
      <c r="F37" s="2437" t="s">
        <v>48</v>
      </c>
      <c r="G37" s="2437" t="s">
        <v>18</v>
      </c>
      <c r="H37" s="2437" t="s">
        <v>18</v>
      </c>
      <c r="I37" s="2437" t="s">
        <v>746</v>
      </c>
    </row>
    <row customHeight="1" ht="11.25">
      <c r="A38" s="2437" t="s">
        <v>2163</v>
      </c>
      <c r="B38" s="2437" t="s">
        <v>14</v>
      </c>
      <c r="C38" s="2437" t="s">
        <v>2188</v>
      </c>
      <c r="D38" s="2437" t="s">
        <v>2189</v>
      </c>
      <c r="E38" s="2437" t="s">
        <v>2190</v>
      </c>
      <c r="F38" s="2437" t="s">
        <v>2191</v>
      </c>
      <c r="G38" s="2437" t="s">
        <v>18</v>
      </c>
      <c r="H38" s="2437" t="s">
        <v>18</v>
      </c>
      <c r="I38" s="2437" t="s">
        <v>746</v>
      </c>
    </row>
    <row customHeight="1" ht="11.25">
      <c r="A39" s="2437" t="s">
        <v>2163</v>
      </c>
      <c r="B39" s="2437" t="s">
        <v>14</v>
      </c>
      <c r="C39" s="2437" t="s">
        <v>2196</v>
      </c>
      <c r="D39" s="2437" t="s">
        <v>2197</v>
      </c>
      <c r="E39" s="2437" t="s">
        <v>2198</v>
      </c>
      <c r="F39" s="2437" t="s">
        <v>48</v>
      </c>
      <c r="G39" s="2437" t="s">
        <v>18</v>
      </c>
      <c r="H39" s="2437" t="s">
        <v>18</v>
      </c>
      <c r="I39" s="2437" t="s">
        <v>746</v>
      </c>
    </row>
    <row customHeight="1" ht="11.25">
      <c r="A40" s="2437" t="s">
        <v>2163</v>
      </c>
      <c r="B40" s="2437" t="s">
        <v>14</v>
      </c>
      <c r="C40" s="2437" t="s">
        <v>2199</v>
      </c>
      <c r="D40" s="2437" t="s">
        <v>2200</v>
      </c>
      <c r="E40" s="2437" t="s">
        <v>2166</v>
      </c>
      <c r="F40" s="2437" t="s">
        <v>2201</v>
      </c>
      <c r="G40" s="2437" t="s">
        <v>2202</v>
      </c>
      <c r="H40" s="2437" t="s">
        <v>18</v>
      </c>
      <c r="I40" s="2437" t="s">
        <v>746</v>
      </c>
    </row>
    <row customHeight="1" ht="11.25">
      <c r="A41" s="2437" t="s">
        <v>2163</v>
      </c>
      <c r="B41" s="2437" t="s">
        <v>14</v>
      </c>
      <c r="C41" s="2437" t="s">
        <v>18</v>
      </c>
      <c r="D41" s="2437" t="s">
        <v>2203</v>
      </c>
      <c r="E41" s="2437" t="s">
        <v>2204</v>
      </c>
      <c r="F41" s="2437" t="s">
        <v>48</v>
      </c>
      <c r="G41" s="2437" t="s">
        <v>18</v>
      </c>
      <c r="H41" s="2437" t="s">
        <v>18</v>
      </c>
      <c r="I41" s="2437" t="s">
        <v>746</v>
      </c>
    </row>
    <row customHeight="1" ht="11.25">
      <c r="A42" s="2437" t="s">
        <v>2163</v>
      </c>
      <c r="B42" s="2437" t="s">
        <v>14</v>
      </c>
      <c r="C42" s="2437" t="s">
        <v>2205</v>
      </c>
      <c r="D42" s="2437" t="s">
        <v>2206</v>
      </c>
      <c r="E42" s="2437" t="s">
        <v>2207</v>
      </c>
      <c r="F42" s="2437" t="s">
        <v>2208</v>
      </c>
      <c r="G42" s="2437" t="s">
        <v>18</v>
      </c>
      <c r="H42" s="2437" t="s">
        <v>18</v>
      </c>
      <c r="I42" s="2437" t="s">
        <v>746</v>
      </c>
    </row>
    <row customHeight="1" ht="11.25">
      <c r="A43" s="2437" t="s">
        <v>2163</v>
      </c>
      <c r="B43" s="2437" t="s">
        <v>14</v>
      </c>
      <c r="C43" s="2437" t="s">
        <v>2209</v>
      </c>
      <c r="D43" s="2437" t="s">
        <v>2210</v>
      </c>
      <c r="E43" s="2437" t="s">
        <v>2207</v>
      </c>
      <c r="F43" s="2437" t="s">
        <v>2211</v>
      </c>
      <c r="G43" s="2437" t="s">
        <v>2212</v>
      </c>
      <c r="H43" s="2437" t="s">
        <v>18</v>
      </c>
      <c r="I43" s="2437" t="s">
        <v>746</v>
      </c>
    </row>
    <row customHeight="1" ht="11.25">
      <c r="A44" s="2437" t="s">
        <v>2163</v>
      </c>
      <c r="B44" s="2437" t="s">
        <v>14</v>
      </c>
      <c r="C44" s="2437" t="s">
        <v>2164</v>
      </c>
      <c r="D44" s="2437" t="s">
        <v>2165</v>
      </c>
      <c r="E44" s="2437" t="s">
        <v>2166</v>
      </c>
      <c r="F44" s="2437" t="s">
        <v>2167</v>
      </c>
      <c r="G44" s="2437" t="s">
        <v>18</v>
      </c>
      <c r="H44" s="2437" t="s">
        <v>18</v>
      </c>
      <c r="I44" s="2437" t="s">
        <v>798</v>
      </c>
    </row>
    <row customHeight="1" ht="11.25">
      <c r="A45" s="2437" t="s">
        <v>2163</v>
      </c>
      <c r="B45" s="2437" t="s">
        <v>14</v>
      </c>
      <c r="C45" s="2437" t="s">
        <v>2223</v>
      </c>
      <c r="D45" s="2437" t="s">
        <v>2224</v>
      </c>
      <c r="E45" s="2437" t="s">
        <v>2225</v>
      </c>
      <c r="F45" s="2437" t="s">
        <v>48</v>
      </c>
      <c r="G45" s="2437" t="s">
        <v>2226</v>
      </c>
      <c r="H45" s="2437" t="s">
        <v>18</v>
      </c>
      <c r="I45" s="2437" t="s">
        <v>798</v>
      </c>
    </row>
    <row customHeight="1" ht="11.25">
      <c r="A46" s="2437" t="s">
        <v>2163</v>
      </c>
      <c r="B46" s="2437" t="s">
        <v>14</v>
      </c>
      <c r="C46" s="2437" t="s">
        <v>2175</v>
      </c>
      <c r="D46" s="2437" t="s">
        <v>2176</v>
      </c>
      <c r="E46" s="2437" t="s">
        <v>2177</v>
      </c>
      <c r="F46" s="2437" t="s">
        <v>48</v>
      </c>
      <c r="G46" s="2437" t="s">
        <v>18</v>
      </c>
      <c r="H46" s="2437" t="s">
        <v>18</v>
      </c>
      <c r="I46" s="2437" t="s">
        <v>798</v>
      </c>
    </row>
    <row customHeight="1" ht="11.25">
      <c r="A47" s="2437" t="s">
        <v>2163</v>
      </c>
      <c r="B47" s="2437" t="s">
        <v>14</v>
      </c>
      <c r="C47" s="2437" t="s">
        <v>2181</v>
      </c>
      <c r="D47" s="2437" t="s">
        <v>2182</v>
      </c>
      <c r="E47" s="2437" t="s">
        <v>2183</v>
      </c>
      <c r="F47" s="2437" t="s">
        <v>48</v>
      </c>
      <c r="G47" s="2437" t="s">
        <v>18</v>
      </c>
      <c r="H47" s="2437" t="s">
        <v>18</v>
      </c>
      <c r="I47" s="2437" t="s">
        <v>798</v>
      </c>
    </row>
    <row customHeight="1" ht="11.25">
      <c r="A48" s="2437" t="s">
        <v>2163</v>
      </c>
      <c r="B48" s="2437" t="s">
        <v>14</v>
      </c>
      <c r="C48" s="2437" t="s">
        <v>2188</v>
      </c>
      <c r="D48" s="2437" t="s">
        <v>2189</v>
      </c>
      <c r="E48" s="2437" t="s">
        <v>2190</v>
      </c>
      <c r="F48" s="2437" t="s">
        <v>2191</v>
      </c>
      <c r="G48" s="2437" t="s">
        <v>18</v>
      </c>
      <c r="H48" s="2437" t="s">
        <v>18</v>
      </c>
      <c r="I48" s="2437" t="s">
        <v>798</v>
      </c>
    </row>
    <row customHeight="1" ht="11.25">
      <c r="A49" s="2437" t="s">
        <v>2163</v>
      </c>
      <c r="B49" s="2437" t="s">
        <v>14</v>
      </c>
      <c r="C49" s="2437" t="s">
        <v>2199</v>
      </c>
      <c r="D49" s="2437" t="s">
        <v>2200</v>
      </c>
      <c r="E49" s="2437" t="s">
        <v>2166</v>
      </c>
      <c r="F49" s="2437" t="s">
        <v>2201</v>
      </c>
      <c r="G49" s="2437" t="s">
        <v>2202</v>
      </c>
      <c r="H49" s="2437" t="s">
        <v>18</v>
      </c>
      <c r="I49" s="2437" t="s">
        <v>798</v>
      </c>
    </row>
    <row customHeight="1" ht="11.25">
      <c r="A50" s="2437" t="s">
        <v>2163</v>
      </c>
      <c r="B50" s="2437" t="s">
        <v>14</v>
      </c>
      <c r="C50" s="2437" t="s">
        <v>18</v>
      </c>
      <c r="D50" s="2437" t="s">
        <v>2203</v>
      </c>
      <c r="E50" s="2437" t="s">
        <v>2204</v>
      </c>
      <c r="F50" s="2437" t="s">
        <v>48</v>
      </c>
      <c r="G50" s="2437" t="s">
        <v>18</v>
      </c>
      <c r="H50" s="2437" t="s">
        <v>18</v>
      </c>
      <c r="I50" s="2437" t="s">
        <v>798</v>
      </c>
    </row>
    <row customHeight="1" ht="11.25">
      <c r="A51" s="2437" t="s">
        <v>2163</v>
      </c>
      <c r="B51" s="2437" t="s">
        <v>14</v>
      </c>
      <c r="C51" s="2437" t="s">
        <v>2175</v>
      </c>
      <c r="D51" s="2437" t="s">
        <v>2176</v>
      </c>
      <c r="E51" s="2437" t="s">
        <v>2177</v>
      </c>
      <c r="F51" s="2437" t="s">
        <v>48</v>
      </c>
      <c r="G51" s="2437" t="s">
        <v>18</v>
      </c>
      <c r="H51" s="2437" t="s">
        <v>18</v>
      </c>
      <c r="I51" s="2437" t="s">
        <v>1603</v>
      </c>
    </row>
    <row customHeight="1" ht="11.25">
      <c r="A52" s="2437" t="s">
        <v>2163</v>
      </c>
      <c r="B52" s="2437" t="s">
        <v>14</v>
      </c>
      <c r="C52" s="2437" t="s">
        <v>2227</v>
      </c>
      <c r="D52" s="2437" t="s">
        <v>2228</v>
      </c>
      <c r="E52" s="2437" t="s">
        <v>2229</v>
      </c>
      <c r="F52" s="2437" t="s">
        <v>48</v>
      </c>
      <c r="G52" s="2437" t="s">
        <v>18</v>
      </c>
      <c r="H52" s="2437" t="s">
        <v>18</v>
      </c>
      <c r="I52" s="2437" t="s">
        <v>1603</v>
      </c>
    </row>
    <row customHeight="1" ht="11.25">
      <c r="A53" s="2437" t="s">
        <v>2163</v>
      </c>
      <c r="B53" s="2437" t="s">
        <v>14</v>
      </c>
      <c r="C53" s="2437" t="s">
        <v>18</v>
      </c>
      <c r="D53" s="2437" t="s">
        <v>2203</v>
      </c>
      <c r="E53" s="2437" t="s">
        <v>2204</v>
      </c>
      <c r="F53" s="2437" t="s">
        <v>48</v>
      </c>
      <c r="G53" s="2437" t="s">
        <v>18</v>
      </c>
      <c r="H53" s="2437" t="s">
        <v>18</v>
      </c>
      <c r="I53" s="2437" t="s">
        <v>1603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DEE5C-C384-5129-4AAE-6902C39E0CD7}" mc:Ignorable="x14ac xr xr2 xr3">
  <sheetPr>
    <tabColor rgb="FFFFCC99"/>
  </sheetPr>
  <dimension ref="A1:G23"/>
  <sheetViews>
    <sheetView topLeftCell="A1" showGridLines="0" workbookViewId="0">
      <selection activeCell="A1" sqref="A1"/>
    </sheetView>
  </sheetViews>
  <sheetFormatPr customHeight="1" defaultRowHeight="11.25"/>
  <cols>
    <col min="1" max="1" style="2437" width="9.140625"/>
  </cols>
  <sheetData>
    <row customHeight="1" ht="11.25">
      <c r="A1" s="0" t="s">
        <v>2230</v>
      </c>
      <c r="B1" s="0" t="s">
        <v>2231</v>
      </c>
      <c r="C1" s="0" t="s">
        <v>2232</v>
      </c>
      <c r="D1" s="0" t="s">
        <v>2233</v>
      </c>
      <c r="E1" s="0" t="s">
        <v>2234</v>
      </c>
      <c r="F1" s="0" t="s">
        <v>2235</v>
      </c>
      <c r="G1" s="0" t="s">
        <v>2236</v>
      </c>
    </row>
    <row customHeight="1" ht="11.25">
      <c r="A2" s="0" t="s">
        <v>14</v>
      </c>
      <c r="B2" s="0" t="s">
        <v>96</v>
      </c>
      <c r="C2" s="0" t="s">
        <v>2237</v>
      </c>
      <c r="D2" s="0" t="s">
        <v>96</v>
      </c>
      <c r="E2" s="0" t="s">
        <v>2237</v>
      </c>
      <c r="F2" s="0" t="s">
        <v>2238</v>
      </c>
      <c r="G2" s="0" t="s">
        <v>106</v>
      </c>
    </row>
    <row customHeight="1" ht="11.25">
      <c r="A3" s="0" t="s">
        <v>14</v>
      </c>
      <c r="B3" s="0" t="s">
        <v>96</v>
      </c>
      <c r="C3" s="0" t="s">
        <v>2237</v>
      </c>
      <c r="D3" s="0" t="s">
        <v>2239</v>
      </c>
      <c r="E3" s="0" t="s">
        <v>2240</v>
      </c>
      <c r="F3" s="0" t="s">
        <v>2241</v>
      </c>
      <c r="G3" s="0" t="s">
        <v>107</v>
      </c>
    </row>
    <row customHeight="1" ht="11.25">
      <c r="A4" s="0" t="s">
        <v>14</v>
      </c>
      <c r="B4" s="0" t="s">
        <v>96</v>
      </c>
      <c r="C4" s="0" t="s">
        <v>2237</v>
      </c>
      <c r="D4" s="0" t="s">
        <v>2242</v>
      </c>
      <c r="E4" s="0" t="s">
        <v>2243</v>
      </c>
      <c r="F4" s="0" t="s">
        <v>2241</v>
      </c>
      <c r="G4" s="0" t="s">
        <v>86</v>
      </c>
    </row>
    <row customHeight="1" ht="11.25">
      <c r="A5" s="0" t="s">
        <v>14</v>
      </c>
      <c r="B5" s="0" t="s">
        <v>96</v>
      </c>
      <c r="C5" s="0" t="s">
        <v>2237</v>
      </c>
      <c r="D5" s="0" t="s">
        <v>2244</v>
      </c>
      <c r="E5" s="0" t="s">
        <v>2245</v>
      </c>
      <c r="F5" s="0" t="s">
        <v>2241</v>
      </c>
      <c r="G5" s="0" t="s">
        <v>87</v>
      </c>
    </row>
    <row customHeight="1" ht="11.25">
      <c r="A6" s="0" t="s">
        <v>14</v>
      </c>
      <c r="B6" s="0" t="s">
        <v>96</v>
      </c>
      <c r="C6" s="0" t="s">
        <v>2237</v>
      </c>
      <c r="D6" s="0" t="s">
        <v>2246</v>
      </c>
      <c r="E6" s="0" t="s">
        <v>2247</v>
      </c>
      <c r="F6" s="0" t="s">
        <v>2241</v>
      </c>
      <c r="G6" s="0" t="s">
        <v>108</v>
      </c>
    </row>
    <row customHeight="1" ht="11.25">
      <c r="A7" s="0" t="s">
        <v>14</v>
      </c>
      <c r="B7" s="0" t="s">
        <v>96</v>
      </c>
      <c r="C7" s="0" t="s">
        <v>2237</v>
      </c>
      <c r="D7" s="0" t="s">
        <v>2248</v>
      </c>
      <c r="E7" s="0" t="s">
        <v>2249</v>
      </c>
      <c r="F7" s="0" t="s">
        <v>2241</v>
      </c>
      <c r="G7" s="0" t="s">
        <v>88</v>
      </c>
    </row>
    <row customHeight="1" ht="11.25">
      <c r="A8" s="0" t="s">
        <v>14</v>
      </c>
      <c r="B8" s="0" t="s">
        <v>96</v>
      </c>
      <c r="C8" s="0" t="s">
        <v>2237</v>
      </c>
      <c r="D8" s="0" t="s">
        <v>2250</v>
      </c>
      <c r="E8" s="0" t="s">
        <v>2251</v>
      </c>
      <c r="F8" s="0" t="s">
        <v>2241</v>
      </c>
      <c r="G8" s="0" t="s">
        <v>89</v>
      </c>
    </row>
    <row customHeight="1" ht="11.25">
      <c r="A9" s="0" t="s">
        <v>14</v>
      </c>
      <c r="B9" s="0" t="s">
        <v>96</v>
      </c>
      <c r="C9" s="0" t="s">
        <v>2237</v>
      </c>
      <c r="D9" s="0" t="s">
        <v>2252</v>
      </c>
      <c r="E9" s="0" t="s">
        <v>2253</v>
      </c>
      <c r="F9" s="0" t="s">
        <v>2241</v>
      </c>
      <c r="G9" s="0" t="s">
        <v>109</v>
      </c>
    </row>
    <row customHeight="1" ht="11.25">
      <c r="A10" s="0" t="s">
        <v>14</v>
      </c>
      <c r="B10" s="0" t="s">
        <v>96</v>
      </c>
      <c r="C10" s="0" t="s">
        <v>2237</v>
      </c>
      <c r="D10" s="0" t="s">
        <v>2254</v>
      </c>
      <c r="E10" s="0" t="s">
        <v>2255</v>
      </c>
      <c r="F10" s="0" t="s">
        <v>2256</v>
      </c>
      <c r="G10" s="0" t="s">
        <v>146</v>
      </c>
    </row>
    <row customHeight="1" ht="11.25">
      <c r="A11" s="0" t="s">
        <v>14</v>
      </c>
      <c r="B11" s="0" t="s">
        <v>96</v>
      </c>
      <c r="C11" s="0" t="s">
        <v>2237</v>
      </c>
      <c r="D11" s="0" t="s">
        <v>2257</v>
      </c>
      <c r="E11" s="0" t="s">
        <v>2258</v>
      </c>
      <c r="F11" s="0" t="s">
        <v>2241</v>
      </c>
      <c r="G11" s="0" t="s">
        <v>147</v>
      </c>
    </row>
    <row customHeight="1" ht="11.25">
      <c r="A12" s="0" t="s">
        <v>14</v>
      </c>
      <c r="B12" s="0" t="s">
        <v>96</v>
      </c>
      <c r="C12" s="0" t="s">
        <v>2237</v>
      </c>
      <c r="D12" s="0" t="s">
        <v>2259</v>
      </c>
      <c r="E12" s="0" t="s">
        <v>2260</v>
      </c>
      <c r="F12" s="0" t="s">
        <v>2241</v>
      </c>
      <c r="G12" s="0" t="s">
        <v>148</v>
      </c>
    </row>
    <row customHeight="1" ht="11.25">
      <c r="A13" s="0" t="s">
        <v>14</v>
      </c>
      <c r="B13" s="0" t="s">
        <v>96</v>
      </c>
      <c r="C13" s="0" t="s">
        <v>2237</v>
      </c>
      <c r="D13" s="0" t="s">
        <v>2261</v>
      </c>
      <c r="E13" s="0" t="s">
        <v>2262</v>
      </c>
      <c r="F13" s="0" t="s">
        <v>2241</v>
      </c>
      <c r="G13" s="0" t="s">
        <v>149</v>
      </c>
    </row>
    <row customHeight="1" ht="11.25">
      <c r="A14" s="0" t="s">
        <v>14</v>
      </c>
      <c r="B14" s="0" t="s">
        <v>96</v>
      </c>
      <c r="C14" s="0" t="s">
        <v>2237</v>
      </c>
      <c r="D14" s="0" t="s">
        <v>2263</v>
      </c>
      <c r="E14" s="0" t="s">
        <v>2264</v>
      </c>
      <c r="F14" s="0" t="s">
        <v>2241</v>
      </c>
      <c r="G14" s="0" t="s">
        <v>150</v>
      </c>
    </row>
    <row customHeight="1" ht="11.25">
      <c r="A15" s="0" t="s">
        <v>14</v>
      </c>
      <c r="B15" s="0" t="s">
        <v>96</v>
      </c>
      <c r="C15" s="0" t="s">
        <v>2237</v>
      </c>
      <c r="D15" s="0" t="s">
        <v>2265</v>
      </c>
      <c r="E15" s="0" t="s">
        <v>2266</v>
      </c>
      <c r="F15" s="0" t="s">
        <v>2241</v>
      </c>
      <c r="G15" s="0" t="s">
        <v>151</v>
      </c>
    </row>
    <row customHeight="1" ht="11.25">
      <c r="A16" s="0" t="s">
        <v>14</v>
      </c>
      <c r="B16" s="0" t="s">
        <v>96</v>
      </c>
      <c r="C16" s="0" t="s">
        <v>2237</v>
      </c>
      <c r="D16" s="0" t="s">
        <v>97</v>
      </c>
      <c r="E16" s="0" t="s">
        <v>98</v>
      </c>
      <c r="F16" s="0" t="s">
        <v>2267</v>
      </c>
      <c r="G16" s="0" t="s">
        <v>95</v>
      </c>
    </row>
    <row customHeight="1" ht="11.25">
      <c r="A17" s="0" t="s">
        <v>14</v>
      </c>
      <c r="B17" s="0" t="s">
        <v>96</v>
      </c>
      <c r="C17" s="0" t="s">
        <v>2237</v>
      </c>
      <c r="D17" s="0" t="s">
        <v>2268</v>
      </c>
      <c r="E17" s="0" t="s">
        <v>2269</v>
      </c>
      <c r="F17" s="0" t="s">
        <v>2241</v>
      </c>
      <c r="G17" s="0" t="s">
        <v>1454</v>
      </c>
    </row>
    <row customHeight="1" ht="11.25">
      <c r="A18" s="0" t="s">
        <v>14</v>
      </c>
      <c r="B18" s="0" t="s">
        <v>96</v>
      </c>
      <c r="C18" s="0" t="s">
        <v>2237</v>
      </c>
      <c r="D18" s="0" t="s">
        <v>2270</v>
      </c>
      <c r="E18" s="0" t="s">
        <v>2271</v>
      </c>
      <c r="F18" s="0" t="s">
        <v>2241</v>
      </c>
      <c r="G18" s="0" t="s">
        <v>1465</v>
      </c>
    </row>
    <row customHeight="1" ht="11.25">
      <c r="A19" s="0" t="s">
        <v>14</v>
      </c>
      <c r="B19" s="0" t="s">
        <v>96</v>
      </c>
      <c r="C19" s="0" t="s">
        <v>2237</v>
      </c>
      <c r="D19" s="0" t="s">
        <v>2272</v>
      </c>
      <c r="E19" s="0" t="s">
        <v>2273</v>
      </c>
      <c r="F19" s="0" t="s">
        <v>2241</v>
      </c>
      <c r="G19" s="0" t="s">
        <v>1479</v>
      </c>
    </row>
    <row customHeight="1" ht="11.25">
      <c r="A20" s="0" t="s">
        <v>14</v>
      </c>
      <c r="B20" s="0" t="s">
        <v>96</v>
      </c>
      <c r="C20" s="0" t="s">
        <v>2237</v>
      </c>
      <c r="D20" s="0" t="s">
        <v>2274</v>
      </c>
      <c r="E20" s="0" t="s">
        <v>2275</v>
      </c>
      <c r="F20" s="0" t="s">
        <v>2241</v>
      </c>
      <c r="G20" s="0" t="s">
        <v>1491</v>
      </c>
    </row>
    <row customHeight="1" ht="11.25">
      <c r="A21" s="0" t="s">
        <v>14</v>
      </c>
      <c r="B21" s="0" t="s">
        <v>96</v>
      </c>
      <c r="C21" s="0" t="s">
        <v>2237</v>
      </c>
      <c r="D21" s="0" t="s">
        <v>2276</v>
      </c>
      <c r="E21" s="0" t="s">
        <v>2277</v>
      </c>
      <c r="F21" s="0" t="s">
        <v>2241</v>
      </c>
      <c r="G21" s="0" t="s">
        <v>1500</v>
      </c>
    </row>
    <row customHeight="1" ht="11.25">
      <c r="A22" s="0" t="s">
        <v>14</v>
      </c>
      <c r="B22" s="0" t="s">
        <v>96</v>
      </c>
      <c r="C22" s="0" t="s">
        <v>2237</v>
      </c>
      <c r="D22" s="0" t="s">
        <v>2278</v>
      </c>
      <c r="E22" s="0" t="s">
        <v>2279</v>
      </c>
      <c r="F22" s="0" t="s">
        <v>2241</v>
      </c>
      <c r="G22" s="0" t="s">
        <v>1516</v>
      </c>
    </row>
    <row customHeight="1" ht="11.25">
      <c r="A23" s="0" t="s">
        <v>14</v>
      </c>
      <c r="B23" s="0" t="s">
        <v>2280</v>
      </c>
      <c r="C23" s="0" t="s">
        <v>2281</v>
      </c>
      <c r="D23" s="0" t="s">
        <v>2280</v>
      </c>
      <c r="E23" s="0" t="s">
        <v>2281</v>
      </c>
      <c r="F23" s="0" t="s">
        <v>2282</v>
      </c>
      <c r="G23" s="0" t="s">
        <v>1523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52118-BE23-7C0B-4FEF-BAD8D28B78C2}"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2283</v>
      </c>
      <c r="B1" s="830" t="s">
        <v>2284</v>
      </c>
      <c r="C1" s="830" t="s">
        <v>2285</v>
      </c>
      <c r="D1" s="830" t="s">
        <v>2286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2A087-DBC7-4318-1BFF-7CBB449EAD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1C1D2-6A2B-E45E-407B-5964A5B1DD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128</v>
      </c>
      <c r="B1" s="163" t="s">
        <v>2287</v>
      </c>
    </row>
    <row customHeight="1" ht="11.25">
      <c r="A2" s="163" t="s">
        <v>94</v>
      </c>
      <c r="B2" s="163" t="s">
        <v>2288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10A55-5A1B-6BEF-59F5-5E86505DE8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2289</v>
      </c>
      <c r="B1" s="830" t="s">
        <v>2290</v>
      </c>
    </row>
    <row customHeight="1" ht="11.25">
      <c r="A2" s="830">
        <v>4213775</v>
      </c>
      <c r="B2" s="830" t="s">
        <v>1206</v>
      </c>
    </row>
    <row customHeight="1" ht="11.25">
      <c r="A3" s="830">
        <v>4213784</v>
      </c>
      <c r="B3" s="830" t="s">
        <v>1241</v>
      </c>
    </row>
    <row customHeight="1" ht="11.25">
      <c r="A4" s="830">
        <v>4213781</v>
      </c>
      <c r="B4" s="830" t="s">
        <v>1234</v>
      </c>
    </row>
    <row customHeight="1" ht="11.25">
      <c r="A5" s="830">
        <v>4213776</v>
      </c>
      <c r="B5" s="830" t="s">
        <v>164</v>
      </c>
    </row>
    <row customHeight="1" ht="11.25">
      <c r="A6" s="830">
        <v>4213777</v>
      </c>
      <c r="B6" s="830" t="s">
        <v>170</v>
      </c>
    </row>
    <row customHeight="1" ht="11.25">
      <c r="A7" s="830">
        <v>4213778</v>
      </c>
      <c r="B7" s="830" t="s">
        <v>176</v>
      </c>
    </row>
    <row customHeight="1" ht="11.25">
      <c r="A8" s="830">
        <v>4213780</v>
      </c>
      <c r="B8" s="830" t="s">
        <v>182</v>
      </c>
    </row>
    <row customHeight="1" ht="11.25">
      <c r="A9" s="830">
        <v>4213779</v>
      </c>
      <c r="B9" s="830" t="s">
        <v>1374</v>
      </c>
    </row>
    <row customHeight="1" ht="11.25">
      <c r="A10" s="830">
        <v>4213783</v>
      </c>
      <c r="B10" s="830" t="s">
        <v>1389</v>
      </c>
    </row>
    <row customHeight="1" ht="11.25">
      <c r="A11" s="830">
        <v>4213782</v>
      </c>
      <c r="B11" s="830"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8504A-1412-BFB7-F393-816C5C552A8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2289</v>
      </c>
      <c r="B1" s="830" t="s">
        <v>2291</v>
      </c>
    </row>
    <row customHeight="1" ht="11.25">
      <c r="A2" s="830" t="s">
        <v>115</v>
      </c>
      <c r="B2" s="830" t="s">
        <v>1487</v>
      </c>
    </row>
    <row customHeight="1" ht="11.25">
      <c r="A3" s="830" t="s">
        <v>2292</v>
      </c>
      <c r="B3" s="830" t="s">
        <v>1497</v>
      </c>
    </row>
    <row customHeight="1" ht="11.25">
      <c r="A4" s="830" t="s">
        <v>2293</v>
      </c>
      <c r="B4" s="830" t="s">
        <v>1506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AE748-AB89-074F-6D08-B8FDAE36FE17}"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hidden="1" customWidth="1"/>
    <col min="12" max="12" style="1661" width="9.7109375" hidden="1" customWidth="1"/>
    <col min="13" max="18" style="1661" width="19.8515625" hidden="1"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customWidth="1"/>
    <col min="30" max="30" style="1661" width="1.7109375" hidden="1" customWidth="1"/>
    <col min="31" max="33" style="1661" width="103.7109375" hidden="1" customWidth="1"/>
    <col min="34" max="34" style="1661" width="103.7109375"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338</v>
      </c>
      <c r="I1" s="2063"/>
      <c r="J1" s="2063"/>
      <c r="K1" s="2063"/>
      <c r="L1" s="2063"/>
      <c r="M1" s="2063"/>
      <c r="N1" s="2063"/>
      <c r="O1" s="2063"/>
      <c r="P1" s="2063"/>
      <c r="Q1" s="2063"/>
      <c r="R1" s="2063"/>
      <c r="T1" s="2063" t="s">
        <v>339</v>
      </c>
      <c r="U1" s="2063"/>
      <c r="V1" s="2063"/>
      <c r="X1" s="2063" t="s">
        <v>340</v>
      </c>
      <c r="Y1" s="2063"/>
      <c r="Z1" s="2063"/>
      <c r="AB1" s="2063" t="s">
        <v>341</v>
      </c>
      <c r="AC1" s="2063"/>
    </row>
    <row customHeight="1" ht="14.25" hidden="1"/>
    <row s="1639" customFormat="1" customHeight="1" ht="6">
      <c r="C3" s="696"/>
      <c r="D3" s="697"/>
      <c r="E3" s="697"/>
      <c r="F3" s="697"/>
      <c r="G3" s="697"/>
      <c r="H3" s="697" t="s">
        <v>342</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1. Информация об организации, осуществляющей горячее водоснабжение (общая информация)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ИМУП «ПОСЖИЛКОМСЕРВИС»</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284</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285</v>
      </c>
      <c r="AF7" s="2048" t="s">
        <v>285</v>
      </c>
      <c r="AG7" s="2048" t="s">
        <v>285</v>
      </c>
      <c r="AH7" s="2048" t="s">
        <v>285</v>
      </c>
    </row>
    <row customHeight="1" ht="25.5">
      <c r="C8" s="446"/>
      <c r="D8" s="1952" t="s">
        <v>84</v>
      </c>
      <c r="E8" s="2048" t="str">
        <f>"Наименование "&amp;IF(TEMPLATE_SPHERE&lt;&gt;"HEAT","централизованной ","")&amp;"системы "&amp;TEMPLATE_SPHERE_RUS</f>
        <v>Наименование централизованной системы горячего водоснабжения</v>
      </c>
      <c r="F8" s="2048" t="str">
        <f>IF(TEMPLATE_SPHERE&lt;&gt;"HEAT","Регулируемый вид деятельности","Вид регулируемой деятельности")</f>
        <v>Регулируемый вид деятельности</v>
      </c>
      <c r="G8" s="823"/>
      <c r="H8" s="2054" t="s">
        <v>343</v>
      </c>
      <c r="I8" s="2056" t="s">
        <v>344</v>
      </c>
      <c r="J8" s="2048" t="s">
        <v>345</v>
      </c>
      <c r="K8" s="2048"/>
      <c r="L8" s="2048"/>
      <c r="M8" s="2049"/>
      <c r="N8" s="2048" t="s">
        <v>346</v>
      </c>
      <c r="O8" s="2048"/>
      <c r="P8" s="2048" t="s">
        <v>347</v>
      </c>
      <c r="Q8" s="2048"/>
      <c r="R8" s="2052" t="s">
        <v>348</v>
      </c>
      <c r="S8" s="819"/>
      <c r="T8" s="2050" t="s">
        <v>349</v>
      </c>
      <c r="U8" s="2050" t="s">
        <v>350</v>
      </c>
      <c r="V8" s="2050" t="s">
        <v>351</v>
      </c>
      <c r="W8" s="821"/>
      <c r="X8" s="2050" t="s">
        <v>352</v>
      </c>
      <c r="Y8" s="2050" t="s">
        <v>353</v>
      </c>
      <c r="Z8" s="2050" t="s">
        <v>354</v>
      </c>
      <c r="AA8" s="821"/>
      <c r="AB8" s="2050" t="s">
        <v>355</v>
      </c>
      <c r="AC8" s="2050" t="s">
        <v>348</v>
      </c>
      <c r="AD8" s="821"/>
      <c r="AE8" s="2048"/>
      <c r="AF8" s="2048"/>
      <c r="AG8" s="2048"/>
      <c r="AH8" s="2048"/>
    </row>
    <row customHeight="1" ht="43.5">
      <c r="C9" s="446"/>
      <c r="D9" s="1952"/>
      <c r="E9" s="2048"/>
      <c r="F9" s="2048"/>
      <c r="G9" s="824"/>
      <c r="H9" s="2055"/>
      <c r="I9" s="2057"/>
      <c r="J9" s="421" t="s">
        <v>356</v>
      </c>
      <c r="K9" s="421" t="s">
        <v>357</v>
      </c>
      <c r="L9" s="421" t="s">
        <v>358</v>
      </c>
      <c r="M9" s="427" t="s">
        <v>359</v>
      </c>
      <c r="N9" s="421" t="s">
        <v>360</v>
      </c>
      <c r="O9" s="421" t="s">
        <v>359</v>
      </c>
      <c r="P9" s="421" t="s">
        <v>361</v>
      </c>
      <c r="Q9" s="421" t="s">
        <v>359</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362</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106</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363</v>
      </c>
      <c r="AF12" s="2058" t="s">
        <v>364</v>
      </c>
      <c r="AG12" s="2058" t="s">
        <v>365</v>
      </c>
      <c r="AH12" s="2058" t="s">
        <v>366</v>
      </c>
      <c r="AI12" s="443"/>
      <c r="AM12" s="507"/>
      <c r="AP12" s="496" t="s">
        <v>367</v>
      </c>
      <c r="AQ12" s="496" t="s">
        <v>367</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E81EA-F017-BC84-180C-E6BD9AF61A96}"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0" t="s">
        <v>2230</v>
      </c>
      <c r="B1" s="0" t="s">
        <v>2231</v>
      </c>
      <c r="C1" s="0" t="s">
        <v>2232</v>
      </c>
      <c r="D1" s="0" t="s">
        <v>2233</v>
      </c>
      <c r="E1" s="0" t="s">
        <v>2234</v>
      </c>
      <c r="F1" s="0" t="s">
        <v>2235</v>
      </c>
      <c r="G1" s="0" t="s">
        <v>2236</v>
      </c>
    </row>
    <row customHeight="1" ht="11.25">
      <c r="A2" s="0" t="s">
        <v>14</v>
      </c>
      <c r="B2" s="0" t="s">
        <v>96</v>
      </c>
      <c r="C2" s="0" t="s">
        <v>2237</v>
      </c>
      <c r="D2" s="0" t="s">
        <v>96</v>
      </c>
      <c r="E2" s="0" t="s">
        <v>2237</v>
      </c>
      <c r="F2" s="0" t="s">
        <v>2238</v>
      </c>
      <c r="G2" s="0" t="s">
        <v>106</v>
      </c>
    </row>
    <row customHeight="1" ht="11.25">
      <c r="A3" s="0" t="s">
        <v>14</v>
      </c>
      <c r="B3" s="0" t="s">
        <v>96</v>
      </c>
      <c r="C3" s="0" t="s">
        <v>2237</v>
      </c>
      <c r="D3" s="0" t="s">
        <v>2239</v>
      </c>
      <c r="E3" s="0" t="s">
        <v>2240</v>
      </c>
      <c r="F3" s="0" t="s">
        <v>2241</v>
      </c>
      <c r="G3" s="0" t="s">
        <v>107</v>
      </c>
    </row>
    <row customHeight="1" ht="11.25">
      <c r="A4" s="0" t="s">
        <v>14</v>
      </c>
      <c r="B4" s="0" t="s">
        <v>96</v>
      </c>
      <c r="C4" s="0" t="s">
        <v>2237</v>
      </c>
      <c r="D4" s="0" t="s">
        <v>2242</v>
      </c>
      <c r="E4" s="0" t="s">
        <v>2243</v>
      </c>
      <c r="F4" s="0" t="s">
        <v>2241</v>
      </c>
      <c r="G4" s="0" t="s">
        <v>86</v>
      </c>
    </row>
    <row customHeight="1" ht="11.25">
      <c r="A5" s="0" t="s">
        <v>14</v>
      </c>
      <c r="B5" s="0" t="s">
        <v>96</v>
      </c>
      <c r="C5" s="0" t="s">
        <v>2237</v>
      </c>
      <c r="D5" s="0" t="s">
        <v>2244</v>
      </c>
      <c r="E5" s="0" t="s">
        <v>2245</v>
      </c>
      <c r="F5" s="0" t="s">
        <v>2241</v>
      </c>
      <c r="G5" s="0" t="s">
        <v>87</v>
      </c>
    </row>
    <row customHeight="1" ht="11.25">
      <c r="A6" s="0" t="s">
        <v>14</v>
      </c>
      <c r="B6" s="0" t="s">
        <v>96</v>
      </c>
      <c r="C6" s="0" t="s">
        <v>2237</v>
      </c>
      <c r="D6" s="0" t="s">
        <v>2246</v>
      </c>
      <c r="E6" s="0" t="s">
        <v>2247</v>
      </c>
      <c r="F6" s="0" t="s">
        <v>2241</v>
      </c>
      <c r="G6" s="0" t="s">
        <v>108</v>
      </c>
    </row>
    <row customHeight="1" ht="11.25">
      <c r="A7" s="0" t="s">
        <v>14</v>
      </c>
      <c r="B7" s="0" t="s">
        <v>96</v>
      </c>
      <c r="C7" s="0" t="s">
        <v>2237</v>
      </c>
      <c r="D7" s="0" t="s">
        <v>2248</v>
      </c>
      <c r="E7" s="0" t="s">
        <v>2249</v>
      </c>
      <c r="F7" s="0" t="s">
        <v>2241</v>
      </c>
      <c r="G7" s="0" t="s">
        <v>88</v>
      </c>
    </row>
    <row customHeight="1" ht="11.25">
      <c r="A8" s="0" t="s">
        <v>14</v>
      </c>
      <c r="B8" s="0" t="s">
        <v>96</v>
      </c>
      <c r="C8" s="0" t="s">
        <v>2237</v>
      </c>
      <c r="D8" s="0" t="s">
        <v>2250</v>
      </c>
      <c r="E8" s="0" t="s">
        <v>2251</v>
      </c>
      <c r="F8" s="0" t="s">
        <v>2241</v>
      </c>
      <c r="G8" s="0" t="s">
        <v>89</v>
      </c>
    </row>
    <row customHeight="1" ht="11.25">
      <c r="A9" s="0" t="s">
        <v>14</v>
      </c>
      <c r="B9" s="0" t="s">
        <v>96</v>
      </c>
      <c r="C9" s="0" t="s">
        <v>2237</v>
      </c>
      <c r="D9" s="0" t="s">
        <v>2252</v>
      </c>
      <c r="E9" s="0" t="s">
        <v>2253</v>
      </c>
      <c r="F9" s="0" t="s">
        <v>2241</v>
      </c>
      <c r="G9" s="0" t="s">
        <v>109</v>
      </c>
    </row>
    <row customHeight="1" ht="11.25">
      <c r="A10" s="0" t="s">
        <v>14</v>
      </c>
      <c r="B10" s="0" t="s">
        <v>96</v>
      </c>
      <c r="C10" s="0" t="s">
        <v>2237</v>
      </c>
      <c r="D10" s="0" t="s">
        <v>2254</v>
      </c>
      <c r="E10" s="0" t="s">
        <v>2255</v>
      </c>
      <c r="F10" s="0" t="s">
        <v>2256</v>
      </c>
      <c r="G10" s="0" t="s">
        <v>146</v>
      </c>
    </row>
    <row customHeight="1" ht="11.25">
      <c r="A11" s="0" t="s">
        <v>14</v>
      </c>
      <c r="B11" s="0" t="s">
        <v>96</v>
      </c>
      <c r="C11" s="0" t="s">
        <v>2237</v>
      </c>
      <c r="D11" s="0" t="s">
        <v>2257</v>
      </c>
      <c r="E11" s="0" t="s">
        <v>2258</v>
      </c>
      <c r="F11" s="0" t="s">
        <v>2241</v>
      </c>
      <c r="G11" s="0" t="s">
        <v>147</v>
      </c>
    </row>
    <row customHeight="1" ht="11.25">
      <c r="A12" s="0" t="s">
        <v>14</v>
      </c>
      <c r="B12" s="0" t="s">
        <v>96</v>
      </c>
      <c r="C12" s="0" t="s">
        <v>2237</v>
      </c>
      <c r="D12" s="0" t="s">
        <v>2259</v>
      </c>
      <c r="E12" s="0" t="s">
        <v>2260</v>
      </c>
      <c r="F12" s="0" t="s">
        <v>2241</v>
      </c>
      <c r="G12" s="0" t="s">
        <v>148</v>
      </c>
    </row>
    <row customHeight="1" ht="11.25">
      <c r="A13" s="0" t="s">
        <v>14</v>
      </c>
      <c r="B13" s="0" t="s">
        <v>96</v>
      </c>
      <c r="C13" s="0" t="s">
        <v>2237</v>
      </c>
      <c r="D13" s="0" t="s">
        <v>2261</v>
      </c>
      <c r="E13" s="0" t="s">
        <v>2262</v>
      </c>
      <c r="F13" s="0" t="s">
        <v>2241</v>
      </c>
      <c r="G13" s="0" t="s">
        <v>149</v>
      </c>
    </row>
    <row customHeight="1" ht="11.25">
      <c r="A14" s="0" t="s">
        <v>14</v>
      </c>
      <c r="B14" s="0" t="s">
        <v>96</v>
      </c>
      <c r="C14" s="0" t="s">
        <v>2237</v>
      </c>
      <c r="D14" s="0" t="s">
        <v>2263</v>
      </c>
      <c r="E14" s="0" t="s">
        <v>2264</v>
      </c>
      <c r="F14" s="0" t="s">
        <v>2241</v>
      </c>
      <c r="G14" s="0" t="s">
        <v>150</v>
      </c>
    </row>
    <row customHeight="1" ht="11.25">
      <c r="A15" s="0" t="s">
        <v>14</v>
      </c>
      <c r="B15" s="0" t="s">
        <v>96</v>
      </c>
      <c r="C15" s="0" t="s">
        <v>2237</v>
      </c>
      <c r="D15" s="0" t="s">
        <v>2265</v>
      </c>
      <c r="E15" s="0" t="s">
        <v>2266</v>
      </c>
      <c r="F15" s="0" t="s">
        <v>2241</v>
      </c>
      <c r="G15" s="0" t="s">
        <v>151</v>
      </c>
    </row>
    <row customHeight="1" ht="11.25">
      <c r="A16" s="0" t="s">
        <v>14</v>
      </c>
      <c r="B16" s="0" t="s">
        <v>96</v>
      </c>
      <c r="C16" s="0" t="s">
        <v>2237</v>
      </c>
      <c r="D16" s="0" t="s">
        <v>97</v>
      </c>
      <c r="E16" s="0" t="s">
        <v>98</v>
      </c>
      <c r="F16" s="0" t="s">
        <v>2267</v>
      </c>
      <c r="G16" s="0" t="s">
        <v>95</v>
      </c>
    </row>
    <row customHeight="1" ht="11.25">
      <c r="A17" s="0" t="s">
        <v>14</v>
      </c>
      <c r="B17" s="0" t="s">
        <v>96</v>
      </c>
      <c r="C17" s="0" t="s">
        <v>2237</v>
      </c>
      <c r="D17" s="0" t="s">
        <v>2268</v>
      </c>
      <c r="E17" s="0" t="s">
        <v>2269</v>
      </c>
      <c r="F17" s="0" t="s">
        <v>2241</v>
      </c>
      <c r="G17" s="0" t="s">
        <v>1454</v>
      </c>
    </row>
    <row customHeight="1" ht="11.25">
      <c r="A18" s="0" t="s">
        <v>14</v>
      </c>
      <c r="B18" s="0" t="s">
        <v>96</v>
      </c>
      <c r="C18" s="0" t="s">
        <v>2237</v>
      </c>
      <c r="D18" s="0" t="s">
        <v>2270</v>
      </c>
      <c r="E18" s="0" t="s">
        <v>2271</v>
      </c>
      <c r="F18" s="0" t="s">
        <v>2241</v>
      </c>
      <c r="G18" s="0" t="s">
        <v>1465</v>
      </c>
    </row>
    <row customHeight="1" ht="11.25">
      <c r="A19" s="0" t="s">
        <v>14</v>
      </c>
      <c r="B19" s="0" t="s">
        <v>96</v>
      </c>
      <c r="C19" s="0" t="s">
        <v>2237</v>
      </c>
      <c r="D19" s="0" t="s">
        <v>2272</v>
      </c>
      <c r="E19" s="0" t="s">
        <v>2273</v>
      </c>
      <c r="F19" s="0" t="s">
        <v>2241</v>
      </c>
      <c r="G19" s="0" t="s">
        <v>1479</v>
      </c>
    </row>
    <row customHeight="1" ht="11.25">
      <c r="A20" s="0" t="s">
        <v>14</v>
      </c>
      <c r="B20" s="0" t="s">
        <v>96</v>
      </c>
      <c r="C20" s="0" t="s">
        <v>2237</v>
      </c>
      <c r="D20" s="0" t="s">
        <v>2274</v>
      </c>
      <c r="E20" s="0" t="s">
        <v>2275</v>
      </c>
      <c r="F20" s="0" t="s">
        <v>2241</v>
      </c>
      <c r="G20" s="0" t="s">
        <v>1491</v>
      </c>
    </row>
    <row customHeight="1" ht="11.25">
      <c r="A21" s="0" t="s">
        <v>14</v>
      </c>
      <c r="B21" s="0" t="s">
        <v>96</v>
      </c>
      <c r="C21" s="0" t="s">
        <v>2237</v>
      </c>
      <c r="D21" s="0" t="s">
        <v>2276</v>
      </c>
      <c r="E21" s="0" t="s">
        <v>2277</v>
      </c>
      <c r="F21" s="0" t="s">
        <v>2241</v>
      </c>
      <c r="G21" s="0" t="s">
        <v>1500</v>
      </c>
    </row>
    <row customHeight="1" ht="11.25">
      <c r="A22" s="0" t="s">
        <v>14</v>
      </c>
      <c r="B22" s="0" t="s">
        <v>96</v>
      </c>
      <c r="C22" s="0" t="s">
        <v>2237</v>
      </c>
      <c r="D22" s="0" t="s">
        <v>2278</v>
      </c>
      <c r="E22" s="0" t="s">
        <v>2279</v>
      </c>
      <c r="F22" s="0" t="s">
        <v>2241</v>
      </c>
      <c r="G22" s="0" t="s">
        <v>1516</v>
      </c>
    </row>
    <row customHeight="1" ht="11.25">
      <c r="A23" s="0" t="s">
        <v>14</v>
      </c>
      <c r="B23" s="0" t="s">
        <v>2280</v>
      </c>
      <c r="C23" s="0" t="s">
        <v>2281</v>
      </c>
      <c r="D23" s="0" t="s">
        <v>2280</v>
      </c>
      <c r="E23" s="0" t="s">
        <v>2281</v>
      </c>
      <c r="F23" s="0" t="s">
        <v>2282</v>
      </c>
      <c r="G23" s="0"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5FB16-C178-6608-BAB4-AAF78FC297C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2294</v>
      </c>
      <c r="B1" s="830" t="s">
        <v>2295</v>
      </c>
      <c r="C1" s="830" t="s">
        <v>1152</v>
      </c>
    </row>
    <row customHeight="1" ht="11.25">
      <c r="A2" s="830">
        <v>4189678</v>
      </c>
      <c r="B2" s="830" t="s">
        <v>2296</v>
      </c>
      <c r="C2" s="830" t="s">
        <v>2297</v>
      </c>
    </row>
    <row customHeight="1" ht="11.25">
      <c r="A3" s="830">
        <v>4190415</v>
      </c>
      <c r="B3" s="830" t="s">
        <v>2298</v>
      </c>
      <c r="C3" s="830" t="s">
        <v>2297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2529D-BEF9-BA05-9A83-C4B15E69B6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2299</v>
      </c>
      <c r="B1" s="143" t="s">
        <v>2300</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60EAF-4643-1AFE-425B-A2133D0414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2301</v>
      </c>
      <c r="B1" s="0" t="b">
        <v>1</v>
      </c>
    </row>
    <row customHeight="1" ht="11.25">
      <c r="A2" s="0" t="s">
        <v>2302</v>
      </c>
      <c r="B2" s="0" t="b">
        <v>0</v>
      </c>
    </row>
    <row customHeight="1" ht="11.25">
      <c r="A3" s="0" t="s">
        <v>2303</v>
      </c>
      <c r="B3" s="0" t="b">
        <v>0</v>
      </c>
    </row>
    <row customHeight="1" ht="11.25">
      <c r="A4" s="0" t="s">
        <v>2304</v>
      </c>
      <c r="B4" s="0" t="b">
        <v>0</v>
      </c>
    </row>
    <row customHeight="1" ht="11.25">
      <c r="A5" s="0" t="s">
        <v>2305</v>
      </c>
      <c r="B5" s="0" t="b">
        <v>0</v>
      </c>
    </row>
    <row customHeight="1" ht="11.25">
      <c r="A6" s="0" t="s">
        <v>2306</v>
      </c>
      <c r="B6" s="0" t="b">
        <v>1</v>
      </c>
    </row>
    <row customHeight="1" ht="11.25">
      <c r="A7" s="0" t="s">
        <v>2307</v>
      </c>
      <c r="B7" s="0" t="b">
        <v>0</v>
      </c>
    </row>
    <row customHeight="1" ht="11.25">
      <c r="A8" s="0" t="s">
        <v>2308</v>
      </c>
      <c r="B8" s="0" t="b">
        <v>0</v>
      </c>
    </row>
    <row customHeight="1" ht="11.25">
      <c r="A9" s="0" t="s">
        <v>2309</v>
      </c>
      <c r="B9" s="0" t="b">
        <v>0</v>
      </c>
    </row>
    <row customHeight="1" ht="11.25">
      <c r="A10" s="0" t="s">
        <v>2310</v>
      </c>
      <c r="B10" s="0" t="b">
        <v>0</v>
      </c>
    </row>
    <row customHeight="1" ht="11.25">
      <c r="A11" s="0" t="s">
        <v>2311</v>
      </c>
      <c r="B11" s="0" t="b">
        <v>1</v>
      </c>
    </row>
    <row customHeight="1" ht="11.25">
      <c r="A12" s="0" t="s">
        <v>2312</v>
      </c>
      <c r="B12" s="0" t="b">
        <v>0</v>
      </c>
    </row>
    <row customHeight="1" ht="11.25">
      <c r="A13" s="0" t="s">
        <v>2313</v>
      </c>
      <c r="B13" s="0" t="b">
        <v>0</v>
      </c>
    </row>
    <row customHeight="1" ht="11.25">
      <c r="A14" s="0" t="s">
        <v>2314</v>
      </c>
      <c r="B14" s="0" t="b">
        <v>0</v>
      </c>
    </row>
    <row customHeight="1" ht="11.25">
      <c r="A15" s="0" t="s">
        <v>2315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30743-E2D4-ECEE-B56D-7296BD277D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CBCF9-03AC-6259-34E5-8AF447DF42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2316</v>
      </c>
      <c r="B1" s="49" t="s">
        <v>2317</v>
      </c>
    </row>
    <row customHeight="1" ht="11.25">
      <c r="A2" s="0" t="s">
        <v>2318</v>
      </c>
      <c r="B2" s="0" t="s">
        <v>2319</v>
      </c>
    </row>
    <row customHeight="1" ht="11.25">
      <c r="A3" s="0" t="s">
        <v>2320</v>
      </c>
      <c r="B3" s="0" t="s">
        <v>2321</v>
      </c>
    </row>
    <row customHeight="1" ht="11.25">
      <c r="A4" s="0" t="s">
        <v>2322</v>
      </c>
      <c r="B4" s="0" t="s">
        <v>2323</v>
      </c>
    </row>
    <row customHeight="1" ht="11.25">
      <c r="A5" s="0" t="s">
        <v>2324</v>
      </c>
      <c r="B5" s="0" t="s">
        <v>2325</v>
      </c>
    </row>
    <row customHeight="1" ht="11.25">
      <c r="A6" s="0" t="s">
        <v>2326</v>
      </c>
      <c r="B6" s="0" t="s">
        <v>2327</v>
      </c>
    </row>
    <row customHeight="1" ht="11.25">
      <c r="A7" s="0" t="s">
        <v>2328</v>
      </c>
      <c r="B7" s="0" t="s">
        <v>2329</v>
      </c>
    </row>
    <row customHeight="1" ht="11.25">
      <c r="A8" s="0" t="s">
        <v>2330</v>
      </c>
      <c r="B8" s="0" t="s">
        <v>2331</v>
      </c>
    </row>
    <row customHeight="1" ht="11.25">
      <c r="A9" s="0" t="s">
        <v>2332</v>
      </c>
      <c r="B9" s="0" t="s">
        <v>2333</v>
      </c>
    </row>
    <row customHeight="1" ht="11.25">
      <c r="A10" s="0" t="s">
        <v>2334</v>
      </c>
      <c r="B10" s="0" t="s">
        <v>2335</v>
      </c>
    </row>
    <row customHeight="1" ht="11.25">
      <c r="A11" s="0" t="s">
        <v>2336</v>
      </c>
      <c r="B11" s="0" t="s">
        <v>2337</v>
      </c>
    </row>
    <row customHeight="1" ht="11.25">
      <c r="A12" s="0" t="s">
        <v>2338</v>
      </c>
      <c r="B12" s="0" t="s">
        <v>2339</v>
      </c>
    </row>
    <row customHeight="1" ht="11.25">
      <c r="A13" s="0" t="s">
        <v>2340</v>
      </c>
      <c r="B13" s="0" t="s">
        <v>2341</v>
      </c>
    </row>
    <row customHeight="1" ht="11.25">
      <c r="A14" s="0" t="s">
        <v>2342</v>
      </c>
      <c r="B14" s="0" t="s">
        <v>2343</v>
      </c>
    </row>
    <row customHeight="1" ht="11.25">
      <c r="A15" s="0" t="s">
        <v>2344</v>
      </c>
      <c r="B15" s="0" t="s">
        <v>2345</v>
      </c>
    </row>
    <row customHeight="1" ht="11.25">
      <c r="A16" s="0" t="s">
        <v>2346</v>
      </c>
      <c r="B16" s="0" t="s">
        <v>2347</v>
      </c>
    </row>
    <row customHeight="1" ht="11.25">
      <c r="A17" s="0" t="s">
        <v>2348</v>
      </c>
      <c r="B17" s="0" t="s">
        <v>2349</v>
      </c>
    </row>
    <row customHeight="1" ht="11.25">
      <c r="A18" s="0" t="s">
        <v>2350</v>
      </c>
      <c r="B18" s="0" t="s">
        <v>2351</v>
      </c>
    </row>
    <row customHeight="1" ht="11.25">
      <c r="A19" s="0" t="s">
        <v>2352</v>
      </c>
      <c r="B19" s="0" t="s">
        <v>2353</v>
      </c>
    </row>
    <row customHeight="1" ht="11.25">
      <c r="A20" s="0" t="s">
        <v>2354</v>
      </c>
      <c r="B20" s="0" t="s">
        <v>2355</v>
      </c>
    </row>
    <row customHeight="1" ht="11.25">
      <c r="A21" s="0" t="s">
        <v>2356</v>
      </c>
      <c r="B21" s="0" t="s">
        <v>2357</v>
      </c>
    </row>
    <row customHeight="1" ht="11.25">
      <c r="A22" s="0" t="s">
        <v>2358</v>
      </c>
      <c r="B22" s="0" t="s">
        <v>2359</v>
      </c>
    </row>
    <row customHeight="1" ht="11.25">
      <c r="A23" s="0" t="s">
        <v>2360</v>
      </c>
      <c r="B23" s="0" t="s">
        <v>2361</v>
      </c>
    </row>
    <row customHeight="1" ht="11.25">
      <c r="A24" s="0" t="s">
        <v>2362</v>
      </c>
      <c r="B24" s="0" t="s">
        <v>2363</v>
      </c>
    </row>
    <row customHeight="1" ht="11.25">
      <c r="A25" s="0" t="s">
        <v>2364</v>
      </c>
      <c r="B25" s="0" t="s">
        <v>2365</v>
      </c>
    </row>
    <row customHeight="1" ht="11.25">
      <c r="A26" s="0" t="s">
        <v>2366</v>
      </c>
      <c r="B26" s="0" t="s">
        <v>2367</v>
      </c>
    </row>
    <row customHeight="1" ht="11.25">
      <c r="A27" s="0" t="s">
        <v>2368</v>
      </c>
      <c r="B27" s="0" t="s">
        <v>2369</v>
      </c>
    </row>
    <row customHeight="1" ht="11.25">
      <c r="A28" s="0" t="s">
        <v>2370</v>
      </c>
      <c r="B28" s="0" t="s">
        <v>2371</v>
      </c>
    </row>
    <row customHeight="1" ht="11.25">
      <c r="A29" s="0" t="s">
        <v>2372</v>
      </c>
      <c r="B29" s="0" t="s">
        <v>2373</v>
      </c>
    </row>
    <row customHeight="1" ht="11.25">
      <c r="A30" s="0" t="s">
        <v>2374</v>
      </c>
      <c r="B30" s="0" t="s">
        <v>2375</v>
      </c>
    </row>
    <row customHeight="1" ht="11.25">
      <c r="A31" s="0" t="s">
        <v>2376</v>
      </c>
      <c r="B31" s="0" t="s">
        <v>2377</v>
      </c>
    </row>
    <row customHeight="1" ht="11.25">
      <c r="A32" s="0" t="s">
        <v>2378</v>
      </c>
      <c r="B32" s="0" t="s">
        <v>2379</v>
      </c>
    </row>
    <row customHeight="1" ht="11.25">
      <c r="A33" s="0" t="s">
        <v>2380</v>
      </c>
      <c r="B33" s="0" t="s">
        <v>2381</v>
      </c>
    </row>
    <row customHeight="1" ht="11.25">
      <c r="A34" s="0" t="s">
        <v>2382</v>
      </c>
      <c r="B34" s="0" t="s">
        <v>2383</v>
      </c>
    </row>
    <row customHeight="1" ht="11.25">
      <c r="A35" s="0" t="s">
        <v>2384</v>
      </c>
      <c r="B35" s="0" t="s">
        <v>2385</v>
      </c>
    </row>
    <row customHeight="1" ht="11.25">
      <c r="A36" s="0" t="s">
        <v>2386</v>
      </c>
      <c r="B36" s="0" t="s">
        <v>2387</v>
      </c>
    </row>
    <row customHeight="1" ht="11.25">
      <c r="A37" s="0" t="s">
        <v>2388</v>
      </c>
      <c r="B37" s="0" t="s">
        <v>2389</v>
      </c>
    </row>
    <row customHeight="1" ht="11.25">
      <c r="A38" s="0" t="s">
        <v>2390</v>
      </c>
      <c r="B38" s="0" t="s">
        <v>2391</v>
      </c>
    </row>
    <row customHeight="1" ht="11.25">
      <c r="A39" s="0" t="s">
        <v>2392</v>
      </c>
      <c r="B39" s="0" t="s">
        <v>2393</v>
      </c>
    </row>
    <row customHeight="1" ht="11.25">
      <c r="A40" s="0" t="s">
        <v>2394</v>
      </c>
      <c r="B40" s="0" t="s">
        <v>2395</v>
      </c>
    </row>
    <row customHeight="1" ht="11.25">
      <c r="A41" s="0" t="s">
        <v>2396</v>
      </c>
      <c r="B41" s="0" t="s">
        <v>2397</v>
      </c>
    </row>
    <row customHeight="1" ht="11.25">
      <c r="A42" s="0" t="s">
        <v>2398</v>
      </c>
      <c r="B42" s="0" t="s">
        <v>2399</v>
      </c>
    </row>
    <row customHeight="1" ht="11.25">
      <c r="A43" s="0" t="s">
        <v>2400</v>
      </c>
      <c r="B43" s="0" t="s">
        <v>2401</v>
      </c>
    </row>
    <row customHeight="1" ht="11.25">
      <c r="A44" s="0" t="s">
        <v>2402</v>
      </c>
      <c r="B44" s="0" t="s">
        <v>2403</v>
      </c>
    </row>
    <row customHeight="1" ht="11.25">
      <c r="A45" s="0" t="s">
        <v>2404</v>
      </c>
      <c r="B45" s="0" t="s">
        <v>2405</v>
      </c>
    </row>
    <row customHeight="1" ht="11.25">
      <c r="A46" s="0" t="s">
        <v>2406</v>
      </c>
      <c r="B46" s="0" t="s">
        <v>2407</v>
      </c>
    </row>
    <row customHeight="1" ht="11.25">
      <c r="A47" s="0" t="s">
        <v>2408</v>
      </c>
      <c r="B47" s="0" t="s">
        <v>2409</v>
      </c>
    </row>
    <row customHeight="1" ht="11.25">
      <c r="A48" s="0" t="s">
        <v>2410</v>
      </c>
      <c r="B48" s="0" t="s">
        <v>2411</v>
      </c>
    </row>
    <row customHeight="1" ht="11.25">
      <c r="A49" s="0" t="s">
        <v>2412</v>
      </c>
      <c r="B49" s="0" t="s">
        <v>2413</v>
      </c>
    </row>
    <row customHeight="1" ht="11.25">
      <c r="A50" s="0" t="s">
        <v>2414</v>
      </c>
      <c r="B50" s="0" t="s">
        <v>2415</v>
      </c>
    </row>
    <row customHeight="1" ht="11.25">
      <c r="A51" s="0" t="s">
        <v>2416</v>
      </c>
      <c r="B51" s="0" t="s">
        <v>2417</v>
      </c>
    </row>
    <row customHeight="1" ht="11.25">
      <c r="A52" s="0" t="s">
        <v>2418</v>
      </c>
      <c r="B52" s="0" t="s">
        <v>2419</v>
      </c>
    </row>
    <row customHeight="1" ht="11.25">
      <c r="A53" s="0" t="s">
        <v>2420</v>
      </c>
      <c r="B53" s="0" t="s">
        <v>2421</v>
      </c>
    </row>
    <row customHeight="1" ht="11.25">
      <c r="A54" s="0" t="s">
        <v>2422</v>
      </c>
      <c r="B54" s="0" t="s">
        <v>2423</v>
      </c>
    </row>
    <row customHeight="1" ht="11.25">
      <c r="A55" s="0" t="s">
        <v>2424</v>
      </c>
      <c r="B55" s="0" t="s">
        <v>2425</v>
      </c>
    </row>
    <row customHeight="1" ht="11.25">
      <c r="A56" s="0" t="s">
        <v>2426</v>
      </c>
      <c r="B56" s="0" t="s">
        <v>2427</v>
      </c>
    </row>
    <row customHeight="1" ht="11.25">
      <c r="A57" s="0" t="s">
        <v>2428</v>
      </c>
      <c r="B57" s="0" t="s">
        <v>2429</v>
      </c>
    </row>
    <row customHeight="1" ht="11.25">
      <c r="A58" s="0" t="s">
        <v>2430</v>
      </c>
      <c r="B58" s="0" t="s">
        <v>2431</v>
      </c>
    </row>
    <row customHeight="1" ht="11.25">
      <c r="A59" s="0" t="s">
        <v>2432</v>
      </c>
      <c r="B59" s="0" t="s">
        <v>2433</v>
      </c>
    </row>
    <row customHeight="1" ht="11.25">
      <c r="A60" s="0" t="s">
        <v>2434</v>
      </c>
      <c r="B60" s="0" t="s">
        <v>2435</v>
      </c>
    </row>
    <row customHeight="1" ht="11.25">
      <c r="A61" s="0"/>
      <c r="B61" s="0" t="s">
        <v>2436</v>
      </c>
    </row>
    <row customHeight="1" ht="11.25">
      <c r="A62" s="0"/>
      <c r="B62" s="0" t="s">
        <v>2437</v>
      </c>
    </row>
    <row customHeight="1" ht="11.25">
      <c r="A63" s="0"/>
      <c r="B63" s="0" t="s">
        <v>2438</v>
      </c>
    </row>
    <row customHeight="1" ht="11.25">
      <c r="A64" s="0"/>
      <c r="B64" s="0" t="s">
        <v>2439</v>
      </c>
    </row>
    <row customHeight="1" ht="11.25">
      <c r="A65" s="0"/>
      <c r="B65" s="0" t="s">
        <v>2440</v>
      </c>
    </row>
    <row customHeight="1" ht="11.25">
      <c r="A66" s="0"/>
      <c r="B66" s="0" t="s">
        <v>2441</v>
      </c>
    </row>
    <row customHeight="1" ht="11.25">
      <c r="A67" s="0"/>
      <c r="B67" s="0" t="s">
        <v>2442</v>
      </c>
    </row>
    <row customHeight="1" ht="11.25">
      <c r="A68" s="0"/>
      <c r="B68" s="0" t="s">
        <v>2443</v>
      </c>
    </row>
    <row customHeight="1" ht="11.25">
      <c r="A69" s="0"/>
      <c r="B69" s="0" t="s">
        <v>2444</v>
      </c>
    </row>
    <row customHeight="1" ht="11.25">
      <c r="A70" s="0"/>
      <c r="B70" s="0" t="s">
        <v>2445</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B353C-1874-3E1E-5081-858AFDBBF0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2446</v>
      </c>
    </row>
    <row customHeight="1" ht="90">
      <c r="B2" s="73" t="s">
        <v>2447</v>
      </c>
    </row>
    <row customHeight="1" ht="67.5">
      <c r="B3" s="73" t="s">
        <v>2448</v>
      </c>
    </row>
    <row customHeight="1" ht="33.75">
      <c r="B4" s="73" t="s">
        <v>2449</v>
      </c>
    </row>
    <row customHeight="1" ht="11.25">
      <c r="B5" s="73" t="s">
        <v>2450</v>
      </c>
    </row>
    <row customHeight="1" ht="22.5">
      <c r="B6" s="73" t="s">
        <v>2451</v>
      </c>
    </row>
    <row customHeight="1" ht="22.5">
      <c r="B7" s="73" t="s">
        <v>2452</v>
      </c>
    </row>
    <row customHeight="1" ht="22.5">
      <c r="B8" s="73" t="s">
        <v>2453</v>
      </c>
    </row>
    <row customHeight="1" ht="22.5">
      <c r="B9" s="73" t="s">
        <v>2454</v>
      </c>
    </row>
    <row customHeight="1" ht="56.25">
      <c r="B10" s="73" t="s">
        <v>2455</v>
      </c>
    </row>
    <row customHeight="1" ht="12.75">
      <c r="B11" s="139" t="s">
        <v>2456</v>
      </c>
    </row>
    <row customHeight="1" ht="11.25">
      <c r="B12" s="72" t="s">
        <v>2457</v>
      </c>
    </row>
    <row customHeight="1" ht="22.5">
      <c r="B13" s="73" t="s">
        <v>2458</v>
      </c>
    </row>
    <row customHeight="1" ht="67.5">
      <c r="B14" s="73" t="s">
        <v>2459</v>
      </c>
    </row>
    <row customHeight="1" ht="22.5">
      <c r="B15" s="73" t="s">
        <v>2460</v>
      </c>
    </row>
    <row customHeight="1" ht="11.25">
      <c r="B16" s="72" t="s">
        <v>2461</v>
      </c>
      <c r="D16" s="80"/>
    </row>
    <row customHeight="1" ht="33.75">
      <c r="B17" s="73" t="s">
        <v>2462</v>
      </c>
    </row>
    <row customHeight="1" ht="33.75">
      <c r="B18" s="73" t="s">
        <v>2463</v>
      </c>
    </row>
    <row customHeight="1" ht="11.25">
      <c r="B19" s="73" t="s">
        <v>2464</v>
      </c>
    </row>
    <row customHeight="1" ht="33.75">
      <c r="B20" s="73" t="s">
        <v>2465</v>
      </c>
    </row>
    <row customHeight="1" ht="11.25">
      <c r="B21" s="72" t="s">
        <v>2466</v>
      </c>
    </row>
    <row customHeight="1" ht="11.25">
      <c r="B22" s="73" t="s">
        <v>2467</v>
      </c>
    </row>
    <row r="24" customHeight="1" ht="22.5">
      <c r="B24" s="141" t="s">
        <v>2468</v>
      </c>
    </row>
    <row r="26" customHeight="1" ht="11.25">
      <c r="B26" s="72" t="s">
        <v>2469</v>
      </c>
    </row>
    <row customHeight="1" ht="22.5">
      <c r="B27" s="140" t="s">
        <v>382</v>
      </c>
    </row>
    <row customHeight="1" ht="56.25">
      <c r="B28" s="140" t="s">
        <v>2470</v>
      </c>
    </row>
    <row customHeight="1" ht="11.25">
      <c r="B29" s="189" t="s">
        <v>2471</v>
      </c>
    </row>
    <row customHeight="1" ht="22.5">
      <c r="B30" s="140" t="s">
        <v>2472</v>
      </c>
    </row>
    <row r="32" customHeight="1" ht="11.25">
      <c r="A32" s="0"/>
      <c r="B32" s="168" t="s">
        <v>2473</v>
      </c>
    </row>
    <row customHeight="1" ht="14.25">
      <c r="A33" s="169">
        <v>1</v>
      </c>
      <c r="B33" s="170" t="s">
        <v>2474</v>
      </c>
    </row>
    <row customHeight="1" ht="14.25">
      <c r="A34" s="169">
        <v>2</v>
      </c>
      <c r="B34" s="170" t="s">
        <v>2475</v>
      </c>
    </row>
    <row customHeight="1" ht="11.25">
      <c r="B35" s="168" t="s">
        <v>2476</v>
      </c>
    </row>
    <row customHeight="1" ht="11.25">
      <c r="B36" s="170" t="s">
        <v>2477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0A2DE-98D7-3068-051E-5A0CEC87F9D6}"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338</v>
      </c>
      <c r="I1" s="2063"/>
    </row>
    <row s="1661" customFormat="1" customHeight="1" ht="14.25" hidden="1">
      <c r="C2" s="1645"/>
      <c r="D2" s="2067" t="s">
        <v>106</v>
      </c>
      <c r="E2" s="2069"/>
      <c r="F2" s="1651"/>
      <c r="G2" s="1646" t="s">
        <v>106</v>
      </c>
      <c r="H2" s="1649"/>
      <c r="I2" s="1647"/>
      <c r="L2" s="1648"/>
      <c r="M2" s="1648"/>
      <c r="N2" s="1648"/>
      <c r="O2" s="1648" t="s">
        <v>368</v>
      </c>
      <c r="P2" s="1648"/>
      <c r="Q2" s="1648"/>
      <c r="R2" s="1650" t="s">
        <v>367</v>
      </c>
      <c r="S2" s="1650" t="s">
        <v>367</v>
      </c>
      <c r="T2" s="1648"/>
      <c r="U2" s="1648"/>
    </row>
    <row s="1661" customFormat="1" customHeight="1" ht="14.25" hidden="1">
      <c r="C3" s="1645"/>
      <c r="D3" s="2068"/>
      <c r="E3" s="2070"/>
      <c r="F3" s="402"/>
      <c r="G3" s="864"/>
      <c r="H3" s="864" t="s">
        <v>369</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342</v>
      </c>
      <c r="I5" s="697"/>
      <c r="J5" s="697"/>
      <c r="L5" s="1640"/>
      <c r="M5" s="1640"/>
      <c r="N5" s="1640"/>
      <c r="O5" s="1640"/>
      <c r="P5" s="1640"/>
      <c r="Q5" s="1640"/>
      <c r="R5" s="1640"/>
      <c r="S5" s="1640"/>
      <c r="T5" s="1640"/>
      <c r="U5" s="1640"/>
    </row>
    <row customHeight="1" ht="27.75">
      <c r="C6" s="1534"/>
      <c r="D6" s="2066" t="s">
        <v>370</v>
      </c>
      <c r="E6" s="2066"/>
      <c r="F6" s="2066"/>
      <c r="G6" s="2066"/>
      <c r="H6" s="2066"/>
      <c r="I6" s="2066"/>
      <c r="J6" s="487"/>
      <c r="K6" s="1641"/>
    </row>
    <row customHeight="1" ht="17.25">
      <c r="C7" s="1534"/>
      <c r="D7" s="2034" t="str">
        <f>IF(org=0,"Не определено",org)</f>
        <v>ИМУП «ПОСЖИЛКОМСЕРВИС»</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284</v>
      </c>
      <c r="E10" s="2064"/>
      <c r="F10" s="2064"/>
      <c r="G10" s="2064"/>
      <c r="H10" s="2064"/>
      <c r="I10" s="2064"/>
      <c r="J10" s="2048" t="s">
        <v>285</v>
      </c>
    </row>
    <row customHeight="1" ht="25.5">
      <c r="C11" s="1534"/>
      <c r="D11" s="1952" t="s">
        <v>84</v>
      </c>
      <c r="E11" s="2048" t="str">
        <f>IF(TEMPLATE_SPHERE&lt;&gt;"HEAT","Регулируемый вид деятельности","Вид регулируемой деятельности")</f>
        <v>Регулируемый вид деятельности</v>
      </c>
      <c r="F11" s="2010" t="s">
        <v>84</v>
      </c>
      <c r="G11" s="2011"/>
      <c r="H11" s="2009" t="s">
        <v>371</v>
      </c>
      <c r="I11" s="2009" t="s">
        <v>372</v>
      </c>
      <c r="J11" s="2048"/>
    </row>
    <row customHeight="1" ht="14.25">
      <c r="C12" s="1534"/>
      <c r="D12" s="1952"/>
      <c r="E12" s="2048"/>
      <c r="F12" s="2018"/>
      <c r="G12" s="2019"/>
      <c r="H12" s="2071"/>
      <c r="I12" s="2071"/>
      <c r="J12" s="2048"/>
    </row>
    <row s="1667" customFormat="1" customHeight="1" ht="11.25" hidden="1">
      <c r="C13" s="494"/>
      <c r="D13" s="495" t="s">
        <v>362</v>
      </c>
      <c r="E13" s="495"/>
      <c r="F13" s="495"/>
      <c r="G13" s="495"/>
      <c r="H13" s="493"/>
      <c r="I13" s="493"/>
      <c r="J13" s="431"/>
      <c r="L13" s="1640"/>
      <c r="M13" s="1640"/>
      <c r="N13" s="1640"/>
      <c r="O13" s="1640"/>
      <c r="P13" s="1640"/>
      <c r="Q13" s="1640"/>
      <c r="R13" s="1640"/>
      <c r="S13" s="1640"/>
      <c r="T13" s="1640"/>
      <c r="U13" s="1640"/>
    </row>
    <row customHeight="1" ht="14.25">
      <c r="A14" s="1633"/>
      <c r="C14" s="1534"/>
      <c r="D14" s="2067" t="s">
        <v>106</v>
      </c>
      <c r="E14" s="2069"/>
      <c r="F14" s="1643"/>
      <c r="G14" s="1642" t="s">
        <v>106</v>
      </c>
      <c r="H14" s="1649"/>
      <c r="I14" s="1647"/>
      <c r="J14" s="1996" t="s">
        <v>373</v>
      </c>
      <c r="K14" s="1633"/>
      <c r="R14" s="496" t="s">
        <v>367</v>
      </c>
      <c r="S14" s="496" t="s">
        <v>367</v>
      </c>
    </row>
    <row customHeight="1" ht="14.25">
      <c r="A15" s="1633"/>
      <c r="C15" s="1534"/>
      <c r="D15" s="2068"/>
      <c r="E15" s="2070"/>
      <c r="F15" s="402"/>
      <c r="G15" s="864"/>
      <c r="H15" s="864" t="s">
        <v>369</v>
      </c>
      <c r="I15" s="295"/>
      <c r="J15" s="1997"/>
      <c r="K15" s="1633"/>
      <c r="R15" s="496"/>
      <c r="S15" s="496"/>
    </row>
    <row customHeight="1" ht="14.25">
      <c r="A16" s="1633"/>
      <c r="C16" s="1534"/>
      <c r="D16" s="402"/>
      <c r="E16" s="864" t="s">
        <v>119</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