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8" activeTab="4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ФХД'!$H$98:$J$98</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ФХД'!$99:$107</definedName>
    <definedName name="BLOCK_POK_FHD_COLDVSNA_P2">'Показатели ФХД'!$132:$138</definedName>
    <definedName name="BLOCK_POK_FHD_HEAT_ONLY_REG_ORG_P1">'Показатели ФХД'!$56:$57</definedName>
    <definedName name="BLOCK_POK_FHD_HEAT_ONLY_REG_ORG_P2">'Показатели ФХД'!$97:$150</definedName>
    <definedName name="BLOCK_POK_FHD_HEAT_P1">'Показатели ФХД'!$33:$40</definedName>
    <definedName name="BLOCK_POK_FHD_HEAT_P2">'Показатели ФХД'!$89:$89</definedName>
    <definedName name="BLOCK_POK_FHD_HEAT_P3">'Показатели ФХД'!$116:$128</definedName>
    <definedName name="BLOCK_POK_FHD_HEAT_P4">'Показатели ФХД'!$130:$130</definedName>
    <definedName name="BLOCK_POK_FHD_HEAT_P5">'Показатели ФХД'!$139:$149</definedName>
    <definedName name="BLOCK_POK_FHD_HEAT_P6">'Показатели ФХД'!$47:$47</definedName>
    <definedName name="BLOCK_POK_FHD_HOTVSNA_P1">'Показатели ФХД'!$41:$43</definedName>
    <definedName name="BLOCK_POK_FHD_HOTVSNA_P2">'Показатели ФХД'!$108:$112</definedName>
    <definedName name="BLOCK_POK_FHD_NOT_HEAT_P1">'Показатели ФХД'!$67:$68</definedName>
    <definedName name="BLOCK_POK_FHD_NOT_HEAT_P2">'Показатели ФХД'!$97:$97</definedName>
    <definedName name="BLOCK_POK_FHD_NOT_HOTVSNA">'Показатели ФХД'!$48:$48</definedName>
    <definedName name="BLOCK_POK_FHD_VOTV_P1">'Показатели ФХД'!$113:$115</definedName>
    <definedName name="BLOCK_POK_FHD_VSNA">'Показатели ФХД'!$131:$131</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Детализация'!$A$123:$A$123</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ФХД'!$F$88</definedName>
    <definedName name="pIns_B_FHD_3">'Показатели ФХД'!$F$118</definedName>
    <definedName name="pIns_B_FHD_4">'Показатели ФХД'!$F$138</definedName>
    <definedName name="pIns_B_FHD_5">'Показатели ФХД'!$F$141</definedName>
    <definedName name="pIns_B_FHD_6">'Показатели ФХД'!$F$144</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Детализация'!$F$123</definedName>
    <definedName name="pIns_IP_FIN_PLAN">'ИП. Финансовый план'!$P$8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ФХД'!$J$150</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Детализация'!$AH$123</definedName>
    <definedName name="tblEnd_1_IP_FIN_PLAN">'ИП. Финансовый план'!$P$58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REESTR_IP_RANGE">REESTR_IP!$A$2:$I$2</definedName>
    <definedName name="IP_MAIN_ip_5">ИП!$13:$14</definedName>
    <definedName name="IP_QRE_ip_5">'ИП. КНЭ'!$21:$23</definedName>
    <definedName name="IP_DETAILED_ip_5">'ИП. Детализация'!$14:$122</definedName>
    <definedName name="IP_FIN_PLAN_ip_5">'ИП. Финансовый план'!$K$11:$O$11</definedName>
    <definedName name="REESTR_INFR_RANGE">REESTR_OBJ_INFR!$A$2:$AK$9</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<sst xmlns="http://schemas.openxmlformats.org/spreadsheetml/2006/main" count="10483" uniqueCount="2707">
  <si>
    <t xml:space="preserve"> (требуется обновление)</t>
  </si>
  <si>
    <t>Код отчёта: PP108.OPEN.INFO.BALANCE.COLDVSNA.EIAS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</si>
  <si>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</si>
  <si>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</si>
  <si>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</si>
  <si>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</si>
  <si>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</si>
  <si>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</si>
  <si>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</si>
  <si>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</si>
  <si>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</si>
  <si>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</si>
  <si>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</si>
  <si>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</si>
  <si>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</si>
  <si>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</si>
  <si>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</si>
  <si>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</si>
  <si>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</si>
  <si>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</si>
  <si>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</si>
  <si>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</si>
  <si>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</si>
  <si>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</si>
  <si>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</si>
  <si>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</si>
  <si>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</si>
  <si>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</si>
  <si>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</si>
  <si>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</si>
  <si>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</si>
  <si>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</si>
  <si>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</si>
  <si>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</si>
  <si>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</si>
  <si>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</si>
  <si>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</si>
  <si>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</si>
  <si>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</si>
  <si>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</si>
  <si>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</si>
  <si>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</si>
  <si>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</si>
  <si>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</si>
  <si>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</si>
  <si>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</si>
  <si>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</si>
  <si>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</si>
  <si>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</si>
  <si>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</si>
  <si>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</si>
  <si>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</si>
  <si>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</si>
  <si>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</si>
  <si>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</si>
  <si>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</si>
  <si>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</si>
  <si>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</si>
  <si>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</si>
  <si>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</si>
  <si>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</si>
  <si>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</si>
  <si>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</si>
  <si>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</si>
  <si>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</si>
  <si>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</si>
  <si>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</si>
  <si>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</si>
  <si>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</si>
  <si>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р-он, рп. Искателей, ул. Губкина, д. 15</t>
  </si>
  <si>
    <t>Фамилия, имя, отчество руководителя</t>
  </si>
  <si>
    <t>Труфакин Николай Николаевич</t>
  </si>
  <si>
    <t>Ответственный за заполнение формы</t>
  </si>
  <si>
    <t>Фамилия, имя, отчество</t>
  </si>
  <si>
    <t>Коваленко Анна Валерьевна</t>
  </si>
  <si>
    <t>Должность</t>
  </si>
  <si>
    <t>Начальник экономического отдела</t>
  </si>
  <si>
    <t>Контактный телефон</t>
  </si>
  <si>
    <t>(81853)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</si>
  <si>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</si>
  <si>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</si>
  <si>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</si>
  <si>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</si>
  <si>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</si>
  <si>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</si>
  <si>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</si>
  <si>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</si>
  <si>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</si>
  <si>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</si>
  <si>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</si>
  <si>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</si>
  <si>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</si>
  <si>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</si>
  <si>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</si>
  <si>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</si>
  <si>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</si>
  <si>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</si>
  <si>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</si>
  <si>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</si>
  <si>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</si>
  <si>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</si>
  <si>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</si>
  <si>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</si>
  <si>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</si>
  <si>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</si>
  <si>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</si>
  <si>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</si>
  <si>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</si>
  <si>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</si>
  <si>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</si>
  <si>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</si>
  <si>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</si>
  <si>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</si>
  <si>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</si>
  <si>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</si>
  <si>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</si>
  <si>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</si>
  <si>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</si>
  <si>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</si>
  <si>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</si>
  <si>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</si>
  <si>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</si>
  <si>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</si>
  <si>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</si>
  <si>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</si>
  <si>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</si>
  <si>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</si>
  <si>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</si>
  <si>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</si>
  <si>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</si>
  <si>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</si>
  <si>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</si>
  <si>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</si>
  <si>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</si>
  <si>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</si>
  <si>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</si>
  <si>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</si>
  <si>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</si>
  <si>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</si>
  <si>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</si>
  <si>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</si>
  <si>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</si>
  <si>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</si>
  <si>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</si>
  <si>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</si>
  <si>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</si>
  <si>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</si>
  <si>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</si>
  <si>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</si>
  <si>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</si>
  <si>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</si>
  <si>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</si>
  <si>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</si>
  <si>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</si>
  <si>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</si>
  <si>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</si>
  <si>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</si>
  <si>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</si>
  <si>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</si>
  <si>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</si>
  <si>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</si>
  <si>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</si>
  <si>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</si>
  <si>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</si>
  <si>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</si>
  <si>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</si>
  <si>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</si>
  <si>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</si>
  <si>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</si>
  <si>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</si>
  <si>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</si>
  <si>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</si>
  <si>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</si>
  <si>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</si>
  <si>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</si>
  <si>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</si>
  <si>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</si>
  <si>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</si>
  <si>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</si>
  <si>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</si>
  <si>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</si>
  <si>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</si>
  <si>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</si>
  <si>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</si>
  <si>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</si>
  <si>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</si>
  <si>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</si>
  <si>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</si>
  <si>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</si>
  <si>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</si>
  <si>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</si>
  <si>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</si>
  <si>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</si>
  <si>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</si>
  <si>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</si>
  <si>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</si>
  <si>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</si>
  <si>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</si>
  <si>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</si>
  <si>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</si>
  <si>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</si>
  <si>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</si>
  <si>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</si>
  <si>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</si>
  <si>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</si>
  <si>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</si>
  <si>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</si>
  <si>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</si>
  <si>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</si>
  <si>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</si>
  <si>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</si>
  <si>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</si>
  <si>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</si>
  <si>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</si>
  <si>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</si>
  <si>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</si>
  <si>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</si>
  <si>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</si>
  <si>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</si>
  <si>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</si>
  <si>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</si>
  <si>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</si>
  <si>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</si>
  <si>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</si>
  <si>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</si>
  <si>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</si>
  <si>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</si>
  <si>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</si>
  <si>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</si>
  <si>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</si>
  <si>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</si>
  <si>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</si>
  <si>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</si>
  <si>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</si>
  <si>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</si>
  <si>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</si>
  <si>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</si>
  <si>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</si>
  <si>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</si>
  <si>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</si>
  <si>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</si>
  <si>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</si>
  <si>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</si>
  <si>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</si>
  <si>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</si>
  <si>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</si>
  <si>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</si>
  <si>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</si>
  <si>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</si>
  <si>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</si>
  <si>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</si>
  <si>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</si>
  <si>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</si>
  <si>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</si>
  <si>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</si>
  <si>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</si>
  <si>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</si>
  <si>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</si>
  <si>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</si>
  <si>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</si>
  <si>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</si>
  <si>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</si>
  <si>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</si>
  <si>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</si>
  <si>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</si>
  <si>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</si>
  <si>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</si>
  <si>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</si>
  <si>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</si>
  <si>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</si>
  <si>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</si>
  <si>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</si>
  <si>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</si>
  <si>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</si>
  <si>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</si>
  <si>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</si>
  <si>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</si>
  <si>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</si>
  <si>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</si>
  <si>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</si>
  <si>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</si>
  <si>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</si>
  <si>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</si>
  <si>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</si>
  <si>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</si>
  <si>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</si>
  <si>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</si>
  <si>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</si>
  <si>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</si>
  <si>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</si>
  <si>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</si>
  <si>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</si>
  <si>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</si>
  <si>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</si>
  <si>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</si>
  <si>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</si>
  <si>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</si>
  <si>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</si>
  <si>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</si>
  <si>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</si>
  <si>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</si>
  <si>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</si>
  <si>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</si>
  <si>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</si>
  <si>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</si>
  <si>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</si>
  <si>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</si>
  <si>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</si>
  <si>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</si>
  <si>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</si>
  <si>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</si>
  <si>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</si>
  <si>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</si>
  <si>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</si>
  <si>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</si>
  <si>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</si>
  <si>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</si>
  <si>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</si>
  <si>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</si>
  <si>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</si>
  <si>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</si>
  <si>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</si>
  <si>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</si>
  <si>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</si>
  <si>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</si>
  <si>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</si>
  <si>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</si>
  <si>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</si>
  <si>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</si>
  <si>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</si>
  <si>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</si>
  <si>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</si>
  <si>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</si>
  <si>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</si>
  <si>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</si>
  <si>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</si>
  <si>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</si>
  <si>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</si>
  <si>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</si>
  <si>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</si>
  <si>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</si>
  <si>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</si>
  <si>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</si>
  <si>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</si>
  <si>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</si>
  <si>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</si>
  <si>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</si>
  <si>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</si>
  <si>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</si>
  <si>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</si>
  <si>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</si>
  <si>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</si>
  <si>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</si>
  <si>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</si>
  <si>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</si>
  <si>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</si>
  <si>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</si>
  <si>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</si>
  <si>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</si>
  <si>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</si>
  <si>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</si>
  <si>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</si>
  <si>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</si>
  <si>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</si>
  <si>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</si>
  <si>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</si>
  <si>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</si>
  <si>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</si>
  <si>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</si>
  <si>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</si>
  <si>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</si>
  <si>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</si>
  <si>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</si>
  <si>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</si>
  <si>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</si>
  <si>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</si>
  <si>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</si>
  <si>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</si>
  <si>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</si>
  <si>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</si>
  <si>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</si>
  <si>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</si>
  <si>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</si>
  <si>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</si>
  <si>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</si>
  <si>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</si>
  <si>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</si>
  <si>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</si>
  <si>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</si>
  <si>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</si>
  <si>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</si>
  <si>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</si>
  <si>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</si>
  <si>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</si>
  <si>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</si>
  <si>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</si>
  <si>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</si>
  <si>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</si>
  <si>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</si>
  <si>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</si>
  <si>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</si>
  <si>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</si>
  <si>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</si>
  <si>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</si>
  <si>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</si>
  <si>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</si>
  <si>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</si>
  <si>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</si>
  <si>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</si>
  <si>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</si>
  <si>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</si>
  <si>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</si>
  <si>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</si>
  <si>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</si>
  <si>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</si>
  <si>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</si>
  <si>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</si>
  <si>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</si>
  <si>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</si>
  <si>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</si>
  <si>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</si>
  <si>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</si>
  <si>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</si>
  <si>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</si>
  <si>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</si>
  <si>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</si>
  <si>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</si>
  <si>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</si>
  <si>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</si>
  <si>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</si>
  <si>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</si>
  <si>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</si>
  <si>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</si>
  <si>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</si>
  <si>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</si>
  <si>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</si>
  <si>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</si>
  <si>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</si>
  <si>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</si>
  <si>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</si>
  <si>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</si>
  <si>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</si>
  <si>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</si>
  <si>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</si>
  <si>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</si>
  <si>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</si>
  <si>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</si>
  <si>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</si>
  <si>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</si>
  <si>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</si>
  <si>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</si>
  <si>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</si>
  <si>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</si>
  <si>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</si>
  <si>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</si>
  <si>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</si>
  <si>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</si>
  <si>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</si>
  <si>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</si>
  <si>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</si>
  <si>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</si>
  <si>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</si>
  <si>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</si>
  <si>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</si>
  <si>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</si>
  <si>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</si>
  <si>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</si>
  <si>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</si>
  <si>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</si>
  <si>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</si>
  <si>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</si>
  <si>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</si>
  <si>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</si>
  <si>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</si>
  <si>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</si>
  <si>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</si>
  <si>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</si>
  <si>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</si>
  <si>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</si>
  <si>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</si>
  <si>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</si>
  <si>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</si>
  <si>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</si>
  <si>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</si>
  <si>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</si>
  <si>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</si>
  <si>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</si>
  <si>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</si>
  <si>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</si>
  <si>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</si>
  <si>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</si>
  <si>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</si>
  <si>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</si>
  <si>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</si>
  <si>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</si>
  <si>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</si>
  <si>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</si>
  <si>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</si>
  <si>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</si>
  <si>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</si>
  <si>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</si>
  <si>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</si>
  <si>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</si>
  <si>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</si>
  <si>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</si>
  <si>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</si>
  <si>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</si>
  <si>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</si>
  <si>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</si>
  <si>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</si>
  <si>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</si>
  <si>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</si>
  <si>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</si>
  <si>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</si>
  <si>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</si>
  <si>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</si>
  <si>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</si>
  <si>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</si>
  <si>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</si>
  <si>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</si>
  <si>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</si>
  <si>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</si>
  <si>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</si>
  <si>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</si>
  <si>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</si>
  <si>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</si>
  <si>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</si>
  <si>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</si>
  <si>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</si>
  <si>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</si>
  <si>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</si>
  <si>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</si>
  <si>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</si>
  <si>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</si>
  <si>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</si>
  <si>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</si>
  <si>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</si>
  <si>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</si>
  <si>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</si>
  <si>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</si>
  <si>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</si>
  <si>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</si>
  <si>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</si>
  <si>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</si>
  <si>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</si>
  <si>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</si>
  <si>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</si>
  <si>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</si>
  <si>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</si>
  <si>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</si>
  <si>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</si>
  <si>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</si>
  <si>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</si>
  <si>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</si>
  <si>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</si>
  <si>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</si>
  <si>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</si>
  <si>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</si>
  <si>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</si>
  <si>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</si>
  <si>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</si>
  <si>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</si>
  <si>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</si>
  <si>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</si>
  <si>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</si>
  <si>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</si>
  <si>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</si>
  <si>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</si>
  <si>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</si>
  <si>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</si>
  <si>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</si>
  <si>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</si>
  <si>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</si>
  <si>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</si>
  <si>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</si>
  <si>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</si>
  <si>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</si>
  <si>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вступительный взнос в СРО</t>
  </si>
  <si>
    <t>вывоз и размещение ТБО</t>
  </si>
  <si>
    <t>Расходы на сырье и материалы</t>
  </si>
  <si>
    <t>инвентарь, канцелярские, типографские расходы</t>
  </si>
  <si>
    <t>контроль качества воды</t>
  </si>
  <si>
    <t>льготный проезд к месту отдыха</t>
  </si>
  <si>
    <t>Расходы на уплату налогов, сборов и других обязательных платежей</t>
  </si>
  <si>
    <t>2.12.8</t>
  </si>
  <si>
    <t>прочее по ТБ</t>
  </si>
  <si>
    <t>2.12.9</t>
  </si>
  <si>
    <t>пуско-наладочные работы</t>
  </si>
  <si>
    <t>2.12.10</t>
  </si>
  <si>
    <t>расходы на подготовку и повышение квалификации</t>
  </si>
  <si>
    <t>2.12.11</t>
  </si>
  <si>
    <t>спецодежда, спецоснащение</t>
  </si>
  <si>
    <t>2.12.12</t>
  </si>
  <si>
    <t>ТО по пожарной сигнализации</t>
  </si>
  <si>
    <t>2.12.13</t>
  </si>
  <si>
    <t>транспортные услуги сторонних организаций</t>
  </si>
  <si>
    <t>2.12.14</t>
  </si>
  <si>
    <t>услуги котельных</t>
  </si>
  <si>
    <t>2.12.15</t>
  </si>
  <si>
    <t>Медицинские услуги</t>
  </si>
  <si>
    <t>2.12.16</t>
  </si>
  <si>
    <t>Услуги связи и интернет</t>
  </si>
  <si>
    <t>2.12.17</t>
  </si>
  <si>
    <t>прочие услуги сторонних организаций</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</si>
  <si>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</si>
  <si>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</si>
  <si>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</si>
  <si>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</si>
  <si>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</si>
  <si>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</si>
  <si>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</si>
  <si>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</si>
  <si>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</si>
  <si>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</si>
  <si>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</si>
  <si>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</si>
  <si>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</si>
  <si>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</si>
  <si>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</si>
  <si>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</si>
  <si>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</si>
  <si>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</si>
  <si>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Водозабор "Захребетная курья", р-он ул.Россихина, д.9Б</t>
  </si>
  <si>
    <t>Водозабор "Факел", ул.Газовиков, 3В</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</si>
  <si>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</si>
  <si>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</si>
  <si>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</si>
  <si>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</si>
  <si>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</si>
  <si>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</si>
  <si>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</si>
  <si>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</si>
  <si>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</si>
  <si>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</si>
  <si>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</si>
  <si>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</si>
  <si>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</si>
  <si>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</si>
  <si>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</si>
  <si>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</si>
  <si>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</si>
  <si>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</si>
  <si>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</si>
  <si>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</si>
  <si>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</si>
  <si>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</si>
  <si>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</si>
  <si>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</si>
  <si>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</si>
  <si>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</si>
  <si>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</si>
  <si>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</si>
  <si>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</si>
  <si>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</si>
  <si>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</si>
  <si>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</si>
  <si>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</si>
  <si>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</si>
  <si>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</si>
  <si>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</si>
  <si>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</si>
  <si>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</si>
  <si>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</si>
  <si>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</si>
  <si>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</si>
  <si>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</si>
  <si>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</si>
  <si>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</si>
  <si>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</si>
  <si>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</si>
  <si>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</si>
  <si>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</si>
  <si>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</si>
  <si>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</si>
  <si>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</si>
  <si>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</si>
  <si>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</si>
  <si>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</si>
  <si>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</si>
  <si>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</si>
  <si>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</si>
  <si>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</si>
  <si>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</si>
  <si>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</si>
  <si>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</si>
  <si>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</si>
  <si>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</si>
  <si>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</si>
  <si>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</si>
  <si>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</si>
  <si>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</si>
  <si>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</si>
  <si>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</si>
  <si>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</si>
  <si>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</si>
  <si>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</si>
  <si>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</si>
  <si>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</si>
  <si>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</si>
  <si>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</si>
  <si>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</si>
  <si>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</si>
  <si>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</si>
  <si>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</si>
  <si>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</si>
  <si>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</si>
  <si>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</si>
  <si>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</si>
  <si>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</si>
  <si>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</si>
  <si>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</si>
  <si>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</si>
  <si>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</si>
  <si>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</si>
  <si>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</si>
  <si>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</si>
  <si>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</si>
  <si>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</si>
  <si>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</si>
  <si>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</si>
  <si>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</si>
  <si>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</si>
  <si>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</si>
  <si>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</si>
  <si>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</si>
  <si>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</si>
  <si>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</si>
  <si>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</si>
  <si>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</si>
  <si>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</si>
  <si>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</si>
  <si>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</si>
  <si>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</si>
  <si>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</si>
  <si>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</si>
  <si>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</si>
  <si>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</si>
  <si>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</si>
  <si>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</si>
  <si>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</si>
  <si>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</si>
  <si>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</si>
  <si>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</si>
  <si>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</si>
  <si>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</si>
  <si>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</si>
  <si>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</si>
  <si>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</si>
  <si>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</si>
  <si>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</si>
  <si>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</si>
  <si>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</si>
  <si>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</si>
  <si>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</si>
  <si>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</si>
  <si>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</si>
  <si>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</si>
  <si>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</si>
  <si>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</si>
  <si>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</si>
  <si>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</si>
  <si>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</si>
  <si>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</si>
  <si>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</si>
  <si>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</si>
  <si>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</si>
  <si>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</si>
  <si>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</si>
  <si>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</si>
  <si>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</si>
  <si>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</si>
  <si>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</si>
  <si>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</si>
  <si>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</si>
  <si>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</si>
  <si>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</si>
  <si>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</si>
  <si>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</si>
  <si>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</si>
  <si>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</si>
  <si>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</si>
  <si>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</si>
  <si>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</si>
  <si>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</si>
  <si>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</si>
  <si>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</si>
  <si>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</si>
  <si>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</si>
  <si>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</si>
  <si>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</si>
  <si>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</si>
  <si>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</si>
  <si>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</si>
  <si>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</si>
  <si>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</si>
  <si>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</si>
  <si>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</si>
  <si>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</si>
  <si>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</si>
  <si>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</si>
  <si>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</si>
  <si>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</si>
  <si>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</si>
  <si>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</si>
  <si>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</si>
  <si>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</si>
  <si>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</si>
  <si>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</si>
  <si>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</si>
  <si>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</si>
  <si>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</si>
  <si>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</si>
  <si>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</si>
  <si>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</si>
  <si>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</si>
  <si>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</si>
  <si>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</si>
  <si>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</si>
  <si>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</si>
  <si>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</si>
  <si>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</si>
  <si>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</si>
  <si>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</si>
  <si>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</si>
  <si>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</si>
  <si>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</si>
  <si>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</si>
  <si>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</si>
  <si>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</si>
  <si>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</si>
  <si>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</si>
  <si>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</si>
  <si>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</si>
  <si>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</si>
  <si>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</si>
  <si>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</si>
  <si>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</si>
  <si>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</si>
  <si>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</si>
  <si>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</si>
  <si>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</si>
  <si>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</si>
  <si>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</si>
  <si>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</si>
  <si>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</si>
  <si>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</si>
  <si>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</si>
  <si>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</si>
  <si>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</si>
  <si>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</si>
  <si>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</si>
  <si>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</si>
  <si>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</si>
  <si>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</si>
  <si>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</si>
  <si>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</si>
  <si>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</si>
  <si>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</si>
  <si>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</si>
  <si>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</si>
  <si>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</si>
  <si>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</si>
  <si>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</si>
  <si>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</si>
  <si>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</si>
  <si>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</si>
  <si>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</si>
  <si>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</si>
  <si>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</si>
  <si>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</si>
  <si>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</si>
  <si>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</si>
  <si>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</si>
  <si>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</si>
  <si>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</si>
  <si>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</si>
  <si>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</si>
  <si>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</si>
  <si>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</si>
  <si>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</si>
  <si>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</si>
  <si>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</si>
  <si>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</si>
  <si>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</si>
  <si>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</si>
  <si>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</si>
  <si>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</si>
  <si>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</si>
  <si>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</si>
  <si>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</si>
  <si>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</si>
  <si>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</si>
  <si>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</si>
  <si>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</si>
  <si>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</si>
  <si>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</si>
  <si>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</si>
  <si>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</si>
  <si>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</si>
  <si>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</si>
  <si>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</si>
  <si>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</si>
  <si>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</si>
  <si>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</si>
  <si>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</si>
  <si>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</si>
  <si>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</si>
  <si>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</si>
  <si>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</si>
  <si>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</si>
  <si>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</si>
  <si>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</si>
  <si>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</si>
  <si>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</si>
  <si>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</si>
  <si>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</si>
  <si>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</si>
  <si>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</si>
  <si>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</si>
  <si>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</si>
  <si>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</si>
  <si>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</si>
  <si>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</si>
  <si>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</si>
  <si>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</si>
  <si>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</si>
  <si>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</si>
  <si>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</si>
  <si>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</si>
  <si>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</si>
  <si>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</si>
  <si>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</si>
  <si>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</si>
  <si>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</si>
  <si>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</si>
  <si>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</si>
  <si>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</si>
  <si>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</si>
  <si>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https://portal.eias.ru/Portal/DownloadPage.aspx?type=12&amp;guid=ccadfaa2-9a2e-44c8-a205-8821d66aa9be</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</si>
  <si>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</si>
  <si>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</si>
  <si>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</si>
  <si>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</si>
  <si>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</si>
  <si>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</si>
  <si>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</si>
  <si>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</si>
  <si>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</si>
  <si>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</si>
  <si>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</si>
  <si>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</si>
  <si>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</si>
  <si>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</si>
  <si>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</si>
  <si>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</si>
  <si>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</si>
  <si>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</si>
  <si>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</si>
  <si>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</si>
  <si>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</si>
  <si>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</si>
  <si>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</si>
  <si>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</si>
  <si>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</si>
  <si>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</si>
  <si>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</si>
  <si>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</si>
  <si>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</si>
  <si>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</si>
  <si>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</si>
  <si>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</si>
  <si>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</si>
  <si>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</si>
  <si>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</si>
  <si>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</si>
  <si>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</si>
  <si>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</si>
  <si>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</si>
  <si>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</si>
  <si>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</si>
  <si>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</si>
  <si>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</si>
  <si>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</si>
  <si>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</si>
  <si>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</si>
  <si>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</si>
  <si>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</si>
  <si>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</si>
  <si>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</si>
  <si>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</si>
  <si>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</si>
  <si>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</si>
  <si>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</si>
  <si>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</si>
  <si>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</si>
  <si>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</si>
  <si>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</si>
  <si>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</si>
  <si>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</si>
  <si>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</si>
  <si>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</si>
  <si>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</si>
  <si>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</si>
  <si>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</si>
  <si>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</si>
  <si>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</si>
  <si>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</si>
  <si>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</si>
  <si>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</si>
  <si>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</si>
  <si>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</si>
  <si>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</si>
  <si>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</si>
  <si>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</si>
  <si>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</si>
  <si>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</si>
  <si>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</si>
  <si>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</si>
  <si>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</si>
  <si>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</si>
  <si>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</si>
  <si>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</si>
  <si>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</si>
  <si>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</si>
  <si>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</si>
  <si>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</si>
  <si>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</si>
  <si>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</si>
  <si>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</si>
  <si>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</si>
  <si>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</si>
  <si>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t>
  </si>
  <si>
    <t>снижение аварийности; улучшение качества; повышение надёжности и энергетической эффективности</t>
  </si>
  <si>
    <t>Департамент строительства, жилищно-коммунального хозяйства,энергетики и транспорта Ненецкого автономного округа</t>
  </si>
  <si>
    <t>Администрация муниципального образования "Городское поселение "Рабочий поселок Искателей" Заполярного района Ненецкого автономного округа</t>
  </si>
  <si>
    <t>01.01.2024</t>
  </si>
  <si>
    <t>31.12.2026</t>
  </si>
  <si>
    <t>Об утверждении Инвестиционной программы в сфере водоснабжения Искательского муниципального унитарного предприятия "Посжилкомсервис" на 2024-2026 годы</t>
  </si>
  <si>
    <t>распоряжение</t>
  </si>
  <si>
    <t>360-р</t>
  </si>
  <si>
    <t>20.10.2023</t>
  </si>
  <si>
    <t>Об утверждении изменений, вносимых в Инвестиционную программу в сфере водоснабжения Искательского муниципального унитарного предприятия "Посжилкомсервис" на 2024-2026 годы</t>
  </si>
  <si>
    <t>Распоряжение</t>
  </si>
  <si>
    <t>117-р</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</si>
  <si>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</si>
  <si>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</si>
  <si>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</si>
  <si>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</si>
  <si>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</si>
  <si>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</si>
  <si>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</si>
  <si>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</si>
  <si>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</si>
  <si>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</si>
  <si>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</si>
  <si>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</si>
  <si>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</si>
  <si>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</si>
  <si>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</si>
  <si>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</si>
  <si>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</si>
  <si>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</si>
  <si>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</si>
  <si>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</si>
  <si>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</si>
  <si>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</si>
  <si>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</si>
  <si>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</si>
  <si>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</si>
  <si>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</si>
  <si>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</si>
  <si>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</si>
  <si>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</si>
  <si>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</si>
  <si>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</si>
  <si>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</si>
  <si>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 xml:space="preserve">Реконструкция водоочистных сооружений водозабора "Захребетная Курья" в п. Искателей
</t>
  </si>
  <si>
    <t>Декабрь</t>
  </si>
  <si>
    <t>2024</t>
  </si>
  <si>
    <t>Не выполнено в соответствии с планом</t>
  </si>
  <si>
    <t>Водозабор "Захребетная курья"</t>
  </si>
  <si>
    <t>НС</t>
  </si>
  <si>
    <t>рп Искателей</t>
  </si>
  <si>
    <t>11811111051</t>
  </si>
  <si>
    <t>б/н</t>
  </si>
  <si>
    <t xml:space="preserve">  Федеральный бюджет</t>
  </si>
  <si>
    <t xml:space="preserve">  Бюджет субъекта РФ</t>
  </si>
  <si>
    <t xml:space="preserve">  Бюджет муниципального образования</t>
  </si>
  <si>
    <t>Добавить источник финансирования</t>
  </si>
  <si>
    <t>Добавить объект инфраструктуры</t>
  </si>
  <si>
    <t xml:space="preserve">Реконструкция водоочистных сооружений водозабора "Факел" в п. Искателей (разработка проектной документации)
</t>
  </si>
  <si>
    <t>2026</t>
  </si>
  <si>
    <t>Срок выполнения не наступил</t>
  </si>
  <si>
    <t>Водозабор "Факел"</t>
  </si>
  <si>
    <t xml:space="preserve">  Прочие собственные средства</t>
  </si>
  <si>
    <t xml:space="preserve">     Прочие амортизационные отчисления</t>
  </si>
  <si>
    <t xml:space="preserve">Замена трубопроводов в колодцах № Ф3, № Ф7
</t>
  </si>
  <si>
    <t>Сети                      п. Искателей</t>
  </si>
  <si>
    <t>сеть</t>
  </si>
  <si>
    <t xml:space="preserve">Капитальный ремонт внутридворовых сетей горячего водоснабжения в п. Искателей по региональной программе "Модернизация систем коммунальной инфраструктуры Ненецкого автономного округа на 2023-2027 годы"
</t>
  </si>
  <si>
    <t>Октябрь</t>
  </si>
  <si>
    <t xml:space="preserve">Капитальный ремонт внутридворовых сетей холодного водоснабжения в п. Искателей по региональной программе "Модернизация систем коммунальной инфраструктуры Ненецкого автономного округа на 2023-2027 годы
</t>
  </si>
  <si>
    <t>Добавить мероприятие</t>
  </si>
  <si>
    <t>Реконструкция водоочистных сооружений водозабора "Захребетная Курья" в п. Искателей</t>
  </si>
  <si>
    <t>Реконструкция водоочистных сооружений водозабора "Факел" в п. Искателей (разработка проектной документации)</t>
  </si>
  <si>
    <t xml:space="preserve">Капитальный ремонт внутридворовых сетей горячего водоснабжения в п. Искателей по региональной программе "Модернизация систем коммунальной инфраструктуры Ненецкого автономного округа на 2023-2027 годы"
</t>
  </si>
  <si>
    <t xml:space="preserve">Капитальный ремонт внутридворовых сетей холодного водоснабжения в п. Искателей по региональной программе "Модернизация систем коммунальной инфраструктуры Ненецкого автономного округа на 2023-2027 годы
</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</si>
  <si>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</si>
  <si>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</si>
  <si>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</si>
  <si>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</si>
  <si>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</si>
  <si>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</si>
  <si>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</si>
  <si>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</si>
  <si>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</si>
  <si>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</si>
  <si>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</si>
  <si>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</si>
  <si>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</si>
  <si>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</si>
  <si>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</si>
  <si>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</si>
  <si>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</si>
  <si>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</si>
  <si>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</si>
  <si>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</si>
  <si>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</si>
  <si>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</si>
  <si>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</si>
  <si>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</si>
  <si>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</si>
  <si>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</si>
  <si>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</si>
  <si>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</si>
  <si>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</si>
  <si>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</si>
  <si>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</si>
  <si>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</si>
  <si>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</si>
  <si>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</si>
  <si>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</si>
  <si>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</si>
  <si>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</si>
  <si>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</si>
  <si>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</si>
  <si>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</si>
  <si>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</si>
  <si>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</si>
  <si>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</si>
  <si>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</si>
  <si>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</si>
  <si>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</si>
  <si>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</si>
  <si>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</si>
  <si>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</si>
  <si>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</si>
  <si>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</si>
  <si>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</si>
  <si>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</si>
  <si>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</si>
  <si>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</si>
  <si>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</si>
  <si>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</si>
  <si>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</si>
  <si>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</si>
  <si>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</si>
  <si>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</si>
  <si>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</si>
  <si>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</si>
  <si>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</si>
  <si>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</si>
  <si>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</si>
  <si>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</si>
  <si>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</si>
  <si>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</si>
  <si>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</si>
  <si>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</si>
  <si>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</si>
  <si>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</si>
  <si>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</si>
  <si>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</si>
  <si>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</si>
  <si>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</si>
  <si>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</si>
  <si>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</si>
  <si>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</si>
  <si>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</si>
  <si>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</si>
  <si>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</si>
  <si>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</si>
  <si>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</si>
  <si>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</si>
  <si>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</si>
  <si>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</si>
  <si>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</si>
  <si>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</si>
  <si>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</si>
  <si>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</si>
  <si>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</si>
  <si>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</si>
  <si>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</si>
  <si>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</si>
  <si>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</si>
  <si>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</si>
  <si>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</si>
  <si>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</si>
  <si>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улучшение качества; повышение надёжности и энергетической эффективности</t>
  </si>
  <si>
    <t>утверждается с учетом фактически достигнутых целевых показателей</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</si>
  <si>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</si>
  <si>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</si>
  <si>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</si>
  <si>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</si>
  <si>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</si>
  <si>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</si>
  <si>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</si>
  <si>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</si>
  <si>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</si>
  <si>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</si>
  <si>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</si>
  <si>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</si>
  <si>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</si>
  <si>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</si>
  <si>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</si>
  <si>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</si>
  <si>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</si>
  <si>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</si>
  <si>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</si>
  <si>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</si>
  <si>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</si>
  <si>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</si>
  <si>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</si>
  <si>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</si>
  <si>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</si>
  <si>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</si>
  <si>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</si>
  <si>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</si>
  <si>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</si>
  <si>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</si>
  <si>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</si>
  <si>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</si>
  <si>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</si>
  <si>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</si>
  <si>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</si>
  <si>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</si>
  <si>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</si>
  <si>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</si>
  <si>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</si>
  <si>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</si>
  <si>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</si>
  <si>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</si>
  <si>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</si>
  <si>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</si>
  <si>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</si>
  <si>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</si>
  <si>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</si>
  <si>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</si>
  <si>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</si>
  <si>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</si>
  <si>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</si>
  <si>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</si>
  <si>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</si>
  <si>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</si>
  <si>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</si>
  <si>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</si>
  <si>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</si>
  <si>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</si>
  <si>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</si>
  <si>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</si>
  <si>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</si>
  <si>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</si>
  <si>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</si>
  <si>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</si>
  <si>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</si>
  <si>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</si>
  <si>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</si>
  <si>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</si>
  <si>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</si>
  <si>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</si>
  <si>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</si>
  <si>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</si>
  <si>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</si>
  <si>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</si>
  <si>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</si>
  <si>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</si>
  <si>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</si>
  <si>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</si>
  <si>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</si>
  <si>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</si>
  <si>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</si>
  <si>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</si>
  <si>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</si>
  <si>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</si>
  <si>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</si>
  <si>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</si>
  <si>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</si>
  <si>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</si>
  <si>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</si>
  <si>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</si>
  <si>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</si>
  <si>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</si>
  <si>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</si>
  <si>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</si>
  <si>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</si>
  <si>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</si>
  <si>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</si>
  <si>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</si>
  <si>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</si>
  <si>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</si>
  <si>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</si>
  <si>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</si>
  <si>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</si>
  <si>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</si>
  <si>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</si>
  <si>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</si>
  <si>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</si>
  <si>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</si>
  <si>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</si>
  <si>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</si>
  <si>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</si>
  <si>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</si>
  <si>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</si>
  <si>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</si>
  <si>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</si>
  <si>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</si>
  <si>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</si>
  <si>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</si>
  <si>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</si>
  <si>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</si>
  <si>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</si>
  <si>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</si>
  <si>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</si>
  <si>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</si>
  <si>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</si>
  <si>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</si>
  <si>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</si>
  <si>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</si>
  <si>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</si>
  <si>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</si>
  <si>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</si>
  <si>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</si>
  <si>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</si>
  <si>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</si>
  <si>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</si>
  <si>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</si>
  <si>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</si>
  <si>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</si>
  <si>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</si>
  <si>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</si>
  <si>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</si>
  <si>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</si>
  <si>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</si>
  <si>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</si>
  <si>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</si>
  <si>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</si>
  <si>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</si>
  <si>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</si>
  <si>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</si>
  <si>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</si>
  <si>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</si>
  <si>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</si>
  <si>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</si>
  <si>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</si>
  <si>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</si>
  <si>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</si>
  <si>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</si>
  <si>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</si>
  <si>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</si>
  <si>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</si>
  <si>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</si>
  <si>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</si>
  <si>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</si>
  <si>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</si>
  <si>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</si>
  <si>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</si>
  <si>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</si>
  <si>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</si>
  <si>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</si>
  <si>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</si>
  <si>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</si>
  <si>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</si>
  <si>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</si>
  <si>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</si>
  <si>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</si>
  <si>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</si>
  <si>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</si>
  <si>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</si>
  <si>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</si>
  <si>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</si>
  <si>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</si>
  <si>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</si>
  <si>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</si>
  <si>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</si>
  <si>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</si>
  <si>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</si>
  <si>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</si>
  <si>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</si>
  <si>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</si>
  <si>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</si>
  <si>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</si>
  <si>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</si>
  <si>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</si>
  <si>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</si>
  <si>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</si>
  <si>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</si>
  <si>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</si>
  <si>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</si>
  <si>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</si>
  <si>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</si>
  <si>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</si>
  <si>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</si>
  <si>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</si>
  <si>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</si>
  <si>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</si>
  <si>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</si>
  <si>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</si>
  <si>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</si>
  <si>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</si>
  <si>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</si>
  <si>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</si>
  <si>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</si>
  <si>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</si>
  <si>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</si>
  <si>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</si>
  <si>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</si>
  <si>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</si>
  <si>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</si>
  <si>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</si>
  <si>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</si>
  <si>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</si>
  <si>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</si>
  <si>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</si>
  <si>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</si>
  <si>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</si>
  <si>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</si>
  <si>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</si>
  <si>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</si>
  <si>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</si>
  <si>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</si>
  <si>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</si>
  <si>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</si>
  <si>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</si>
  <si>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</si>
  <si>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</si>
  <si>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</si>
  <si>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</si>
  <si>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</si>
  <si>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</si>
  <si>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</si>
  <si>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</si>
  <si>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</si>
  <si>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</si>
  <si>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</si>
  <si>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</si>
  <si>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</si>
  <si>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</si>
  <si>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</si>
  <si>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</si>
  <si>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</si>
  <si>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</si>
  <si>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</si>
  <si>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</si>
  <si>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</si>
  <si>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</si>
  <si>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</si>
  <si>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</si>
  <si>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</si>
  <si>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</si>
  <si>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</si>
  <si>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</si>
  <si>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</si>
  <si>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</si>
  <si>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</si>
  <si>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</si>
  <si>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</si>
  <si>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</si>
  <si>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</si>
  <si>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</si>
  <si>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</si>
  <si>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</si>
  <si>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</si>
  <si>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</si>
  <si>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</si>
  <si>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</si>
  <si>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</si>
  <si>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</si>
  <si>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</si>
  <si>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</si>
  <si>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</si>
  <si>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</si>
  <si>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</si>
  <si>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</si>
  <si>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</si>
  <si>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</si>
  <si>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</si>
  <si>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</si>
  <si>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</si>
  <si>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</si>
  <si>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</si>
  <si>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</si>
  <si>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</si>
  <si>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</si>
  <si>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</si>
  <si>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</si>
  <si>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</si>
  <si>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</si>
  <si>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</si>
  <si>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</si>
  <si>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</si>
  <si>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</si>
  <si>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</si>
  <si>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</si>
  <si>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</si>
  <si>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</si>
  <si>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</si>
  <si>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</si>
  <si>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</si>
  <si>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</si>
  <si>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</si>
  <si>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</si>
  <si>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</si>
  <si>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</si>
  <si>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</si>
  <si>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</si>
  <si>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</si>
  <si>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</si>
  <si>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</si>
  <si>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</si>
  <si>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</si>
  <si>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</si>
  <si>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</si>
  <si>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</si>
  <si>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</si>
  <si>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</si>
  <si>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</si>
  <si>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</si>
  <si>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</si>
  <si>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</si>
  <si>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</si>
  <si>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</si>
  <si>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</si>
  <si>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</si>
  <si>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</si>
  <si>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</si>
  <si>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</si>
  <si>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</si>
  <si>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</si>
  <si>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</si>
  <si>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</si>
  <si>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</si>
  <si>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</si>
  <si>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</si>
  <si>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</si>
  <si>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</si>
  <si>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</si>
  <si>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</si>
  <si>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</si>
  <si>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</si>
  <si>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</si>
  <si>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</si>
  <si>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</si>
  <si>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</si>
  <si>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</si>
  <si>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</si>
  <si>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</si>
  <si>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</si>
  <si>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</si>
  <si>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</si>
  <si>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</si>
  <si>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</si>
  <si>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</si>
  <si>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</si>
  <si>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</si>
  <si>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</si>
  <si>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</si>
  <si>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</si>
  <si>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</si>
  <si>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</si>
  <si>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</si>
  <si>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</si>
  <si>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</si>
  <si>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</si>
  <si>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</si>
  <si>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</si>
  <si>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</si>
  <si>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</si>
  <si>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</si>
  <si>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</si>
  <si>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</si>
  <si>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</si>
  <si>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</si>
  <si>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</si>
  <si>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</si>
  <si>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</si>
  <si>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</si>
  <si>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</si>
  <si>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</si>
  <si>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</si>
  <si>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</si>
  <si>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</si>
  <si>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</si>
  <si>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</si>
  <si>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</si>
  <si>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</si>
  <si>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</si>
  <si>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</si>
  <si>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</si>
  <si>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</si>
  <si>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</si>
  <si>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</si>
  <si>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</si>
  <si>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</si>
  <si>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</si>
  <si>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</si>
  <si>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</si>
  <si>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</si>
  <si>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</si>
  <si>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</si>
  <si>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</si>
  <si>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</si>
  <si>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</si>
  <si>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</si>
  <si>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</si>
  <si>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</si>
  <si>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</si>
  <si>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</si>
  <si>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</si>
  <si>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</si>
  <si>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</si>
  <si>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</si>
  <si>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</si>
  <si>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</si>
  <si>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</si>
  <si>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</si>
  <si>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</si>
  <si>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</si>
  <si>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</si>
  <si>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</si>
  <si>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</si>
  <si>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</si>
  <si>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</si>
  <si>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</si>
  <si>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</si>
  <si>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</si>
  <si>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</si>
  <si>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</si>
  <si>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</si>
  <si>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</si>
  <si>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</si>
  <si>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</si>
  <si>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</si>
  <si>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</si>
  <si>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</si>
  <si>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</si>
  <si>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</si>
  <si>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</si>
  <si>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</si>
  <si>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</si>
  <si>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</si>
  <si>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</si>
  <si>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</si>
  <si>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</si>
  <si>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</si>
  <si>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</si>
  <si>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</si>
  <si>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</si>
  <si>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</si>
  <si>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</si>
  <si>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</si>
  <si>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</si>
  <si>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</si>
  <si>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</si>
  <si>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</si>
  <si>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</si>
  <si>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</si>
  <si>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</si>
  <si>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</si>
  <si>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</si>
  <si>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</si>
  <si>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</si>
  <si>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</si>
  <si>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</si>
  <si>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</si>
  <si>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</si>
  <si>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</si>
  <si>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</si>
  <si>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</si>
  <si>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</si>
  <si>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</si>
  <si>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</si>
  <si>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</si>
  <si>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</si>
  <si>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</si>
  <si>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</si>
  <si>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</si>
  <si>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</si>
  <si>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</si>
  <si>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</si>
  <si>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</si>
  <si>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</si>
  <si>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</si>
  <si>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</si>
  <si>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</si>
  <si>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</si>
  <si>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</si>
  <si>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</si>
  <si>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</si>
  <si>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</si>
  <si>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</si>
  <si>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</si>
  <si>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</si>
  <si>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</si>
  <si>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</si>
  <si>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</si>
  <si>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</si>
  <si>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</si>
  <si>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</si>
  <si>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</si>
  <si>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</si>
  <si>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</si>
  <si>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</si>
  <si>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</si>
  <si>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</si>
  <si>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</si>
  <si>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</si>
  <si>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</si>
  <si>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</si>
  <si>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</si>
  <si>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</si>
  <si>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</si>
  <si>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</si>
  <si>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</si>
  <si>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</si>
  <si>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</si>
  <si>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</si>
  <si>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</si>
  <si>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</si>
  <si>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</si>
  <si>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</si>
  <si>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</si>
  <si>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</si>
  <si>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</si>
  <si>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</si>
  <si>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</si>
  <si>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</si>
  <si>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</si>
  <si>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</si>
  <si>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</si>
  <si>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</si>
  <si>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</si>
  <si>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</si>
  <si>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</si>
  <si>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</si>
  <si>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</si>
  <si>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</si>
  <si>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</si>
  <si>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</si>
  <si>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</si>
  <si>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</si>
  <si>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</si>
  <si>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</si>
  <si>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</si>
  <si>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</si>
  <si>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</si>
  <si>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</si>
  <si>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</si>
  <si>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</si>
  <si>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</si>
  <si>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</si>
  <si>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</si>
  <si>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</si>
  <si>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</si>
  <si>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</si>
  <si>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</si>
  <si>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</si>
  <si>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</si>
  <si>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</si>
  <si>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</si>
  <si>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</si>
  <si>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</si>
  <si>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</si>
  <si>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</si>
  <si>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</si>
  <si>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</si>
  <si>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</si>
  <si>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</si>
  <si>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</si>
  <si>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</si>
  <si>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</si>
  <si>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</si>
  <si>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</si>
  <si>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</si>
  <si>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</si>
  <si>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</si>
  <si>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</si>
  <si>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</si>
  <si>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</si>
  <si>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</si>
  <si>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</si>
  <si>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</si>
  <si>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</si>
  <si>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</si>
  <si>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</si>
  <si>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</si>
  <si>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</si>
  <si>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</si>
  <si>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</si>
  <si>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</si>
  <si>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</si>
  <si>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</si>
  <si>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</si>
  <si>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</si>
  <si>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</si>
  <si>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</si>
  <si>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</si>
  <si>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</si>
  <si>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</si>
  <si>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</si>
  <si>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</si>
  <si>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</si>
  <si>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</si>
  <si>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</si>
  <si>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</si>
  <si>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</si>
  <si>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</si>
  <si>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</si>
  <si>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</si>
  <si>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</si>
  <si>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</si>
  <si>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</si>
  <si>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</si>
  <si>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</si>
  <si>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</si>
  <si>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</si>
  <si>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</si>
  <si>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</si>
  <si>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</si>
  <si>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</si>
  <si>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</si>
  <si>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</si>
  <si>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</si>
  <si>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</si>
  <si>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</si>
  <si>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</si>
  <si>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</si>
  <si>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</si>
  <si>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</si>
  <si>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</si>
  <si>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</si>
  <si>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</si>
  <si>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</si>
  <si>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</si>
  <si>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</si>
  <si>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</si>
  <si>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</si>
  <si>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</si>
  <si>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</si>
  <si>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</si>
  <si>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</si>
  <si>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</si>
  <si>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</si>
  <si>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</si>
  <si>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</si>
  <si>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</si>
  <si>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</si>
  <si>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</si>
  <si>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</si>
  <si>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</si>
  <si>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</si>
  <si>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</si>
  <si>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</si>
  <si>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</si>
  <si>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</si>
  <si>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</si>
  <si>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</si>
  <si>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</si>
  <si>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</si>
  <si>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</si>
  <si>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</si>
  <si>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</si>
  <si>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</si>
  <si>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</si>
  <si>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</si>
  <si>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</si>
  <si>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</si>
  <si>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</si>
  <si>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</si>
  <si>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</si>
  <si>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</si>
  <si>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</si>
  <si>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</si>
  <si>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</si>
  <si>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</si>
  <si>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</si>
  <si>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</si>
  <si>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</si>
  <si>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</si>
  <si>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</si>
  <si>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</si>
  <si>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</si>
  <si>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</si>
  <si>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</si>
  <si>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</si>
  <si>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</si>
  <si>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</si>
  <si>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</si>
  <si>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</si>
  <si>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</si>
  <si>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</si>
  <si>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</si>
  <si>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</si>
  <si>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</si>
  <si>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</si>
  <si>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</si>
  <si>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</si>
  <si>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</si>
  <si>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</si>
  <si>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</si>
  <si>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</si>
  <si>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</si>
  <si>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</si>
  <si>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</si>
  <si>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</si>
  <si>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</si>
  <si>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</si>
  <si>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</si>
  <si>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</si>
  <si>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</si>
  <si>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</si>
  <si>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</si>
  <si>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</si>
  <si>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</si>
  <si>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</si>
  <si>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</si>
  <si>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</si>
  <si>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</si>
  <si>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</si>
  <si>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</si>
  <si>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</si>
  <si>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</si>
  <si>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</si>
  <si>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</si>
  <si>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</si>
  <si>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</si>
  <si>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</si>
  <si>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</si>
  <si>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</si>
  <si>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</si>
  <si>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</si>
  <si>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</si>
  <si>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</si>
  <si>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</si>
  <si>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</si>
  <si>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</si>
  <si>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</si>
  <si>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</si>
  <si>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</si>
  <si>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</si>
  <si>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</si>
  <si>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</si>
  <si>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</si>
  <si>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</si>
  <si>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</si>
  <si>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</si>
  <si>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</si>
  <si>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</si>
  <si>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</si>
  <si>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</si>
  <si>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</si>
  <si>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</si>
  <si>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</si>
  <si>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</si>
  <si>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</si>
  <si>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</si>
  <si>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</si>
  <si>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</si>
  <si>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</si>
  <si>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</si>
  <si>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</si>
  <si>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</si>
  <si>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</si>
  <si>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</si>
  <si>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</si>
  <si>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</si>
  <si>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</si>
  <si>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</si>
  <si>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</si>
  <si>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</si>
  <si>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</si>
  <si>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</si>
  <si>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</si>
  <si>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</si>
  <si>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</si>
  <si>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</si>
  <si>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</si>
  <si>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</si>
  <si>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</si>
  <si>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</si>
  <si>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</si>
  <si>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</si>
  <si>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</si>
  <si>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</si>
  <si>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</si>
  <si>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</si>
  <si>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</si>
  <si>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</si>
  <si>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</si>
  <si>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</si>
  <si>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</si>
  <si>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</si>
  <si>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</si>
  <si>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</si>
  <si>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</si>
  <si>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</si>
  <si>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</si>
  <si>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</si>
  <si>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</si>
  <si>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</si>
  <si>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</si>
  <si>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</si>
  <si>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</si>
  <si>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</si>
  <si>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</si>
  <si>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</si>
  <si>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</si>
  <si>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</si>
  <si>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</si>
  <si>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</si>
  <si>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</si>
  <si>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</si>
  <si>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</si>
  <si>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</si>
  <si>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</si>
  <si>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</si>
  <si>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</si>
  <si>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</si>
  <si>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</si>
  <si>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</si>
  <si>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</si>
  <si>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</si>
  <si>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</si>
  <si>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</si>
  <si>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</si>
  <si>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</si>
  <si>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</si>
  <si>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</si>
  <si>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</si>
  <si>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</si>
  <si>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</si>
  <si>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</si>
  <si>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</si>
  <si>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</si>
  <si>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</si>
  <si>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</si>
  <si>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</si>
  <si>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</si>
  <si>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</si>
  <si>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</si>
  <si>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</si>
  <si>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</si>
  <si>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</si>
  <si>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</si>
  <si>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</si>
  <si>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</si>
  <si>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</si>
  <si>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</si>
  <si>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</si>
  <si>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</si>
  <si>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</si>
  <si>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</si>
  <si>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</si>
  <si>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</si>
  <si>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</si>
  <si>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</si>
  <si>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</si>
  <si>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</si>
  <si>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</si>
  <si>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</si>
  <si>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</si>
  <si>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</si>
  <si>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</si>
  <si>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</si>
  <si>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</si>
  <si>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</si>
  <si>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</si>
  <si>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</si>
  <si>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</si>
  <si>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</si>
  <si>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</si>
  <si>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</si>
  <si>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</si>
  <si>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</si>
  <si>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</si>
  <si>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</si>
  <si>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</si>
  <si>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</si>
  <si>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</si>
  <si>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</si>
  <si>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</si>
  <si>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</si>
  <si>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</si>
  <si>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</si>
  <si>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</si>
  <si>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</si>
  <si>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</si>
  <si>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</si>
  <si>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</si>
  <si>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</si>
  <si>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</si>
  <si>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</si>
  <si>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</si>
  <si>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</si>
  <si>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</si>
  <si>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</si>
  <si>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</si>
  <si>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</si>
  <si>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</si>
  <si>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</si>
  <si>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</si>
  <si>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</si>
  <si>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</si>
  <si>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</si>
  <si>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</si>
  <si>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</si>
  <si>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</si>
  <si>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</si>
  <si>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</si>
  <si>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</si>
  <si>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</si>
  <si>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</si>
  <si>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</si>
  <si>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</si>
  <si>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</si>
  <si>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</si>
  <si>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</si>
  <si>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</si>
  <si>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</si>
  <si>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</si>
  <si>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</si>
  <si>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</si>
  <si>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</si>
  <si>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</si>
  <si>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</si>
  <si>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</si>
  <si>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</si>
  <si>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</si>
  <si>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</si>
  <si>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</si>
  <si>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</si>
  <si>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</si>
  <si>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</si>
  <si>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</si>
  <si>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</si>
  <si>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</si>
  <si>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</si>
  <si>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</si>
  <si>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</si>
  <si>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</si>
  <si>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</si>
  <si>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</si>
  <si>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</si>
  <si>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</si>
  <si>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</si>
  <si>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</si>
  <si>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</si>
  <si>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</si>
  <si>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</si>
  <si>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</si>
  <si>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</si>
  <si>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</si>
  <si>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</si>
  <si>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</si>
  <si>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</si>
  <si>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</si>
  <si>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</si>
  <si>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</si>
  <si>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</si>
  <si>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</si>
  <si>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</si>
  <si>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</si>
  <si>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</si>
  <si>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</si>
  <si>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</si>
  <si>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</si>
  <si>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</si>
  <si>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</si>
  <si>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</si>
  <si>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</si>
  <si>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</si>
  <si>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</si>
  <si>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</si>
  <si>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</si>
  <si>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</si>
  <si>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</si>
  <si>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</si>
  <si>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</si>
  <si>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</si>
  <si>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</si>
  <si>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</si>
  <si>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</si>
  <si>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</si>
  <si>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</si>
  <si>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</si>
  <si>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</si>
  <si>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</si>
  <si>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</si>
  <si>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</si>
  <si>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</si>
  <si>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</si>
  <si>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</si>
  <si>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</si>
  <si>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</si>
  <si>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</si>
  <si>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</si>
  <si>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</si>
  <si>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</si>
  <si>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</si>
  <si>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</si>
  <si>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</si>
  <si>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</si>
  <si>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</si>
  <si>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</si>
  <si>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</si>
  <si>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</si>
  <si>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</si>
  <si>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</si>
  <si>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</si>
  <si>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</si>
  <si>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</si>
  <si>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</si>
  <si>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</si>
  <si>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</si>
  <si>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</si>
  <si>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</si>
  <si>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</si>
  <si>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</si>
  <si>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</si>
  <si>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</si>
  <si>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</si>
  <si>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</si>
  <si>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</si>
  <si>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</si>
  <si>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</si>
  <si>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</si>
  <si>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</si>
  <si>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</si>
  <si>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</si>
  <si>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</si>
  <si>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</si>
  <si>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</si>
  <si>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</si>
  <si>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</si>
  <si>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</si>
  <si>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</si>
  <si>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</si>
  <si>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</si>
  <si>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</si>
  <si>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</si>
  <si>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</si>
  <si>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</si>
  <si>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</si>
  <si>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</si>
  <si>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</si>
  <si>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</si>
  <si>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</si>
  <si>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</si>
  <si>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</si>
  <si>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</si>
  <si>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</si>
  <si>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</si>
  <si>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</si>
  <si>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</si>
  <si>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</si>
  <si>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</si>
  <si>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</si>
  <si>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</si>
  <si>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</si>
  <si>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</si>
  <si>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</si>
  <si>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</si>
  <si>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</si>
  <si>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</si>
  <si>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</si>
  <si>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</si>
  <si>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</si>
  <si>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</si>
  <si>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</si>
  <si>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</si>
  <si>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</si>
  <si>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</si>
  <si>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</si>
  <si>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</si>
  <si>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</si>
  <si>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</si>
  <si>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</si>
  <si>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</si>
  <si>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</si>
  <si>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</si>
  <si>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</si>
  <si>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</si>
  <si>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</si>
  <si>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</si>
  <si>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</si>
  <si>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</si>
  <si>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</si>
  <si>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</si>
  <si>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</si>
  <si>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</si>
  <si>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</si>
  <si>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</si>
  <si>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</si>
  <si>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</si>
  <si>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</si>
  <si>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</si>
  <si>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</si>
  <si>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</si>
  <si>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</si>
  <si>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</si>
  <si>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</si>
  <si>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</si>
  <si>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</si>
  <si>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</si>
  <si>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</si>
  <si>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</si>
  <si>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</si>
  <si>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</si>
  <si>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</si>
  <si>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</si>
  <si>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</si>
  <si>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</si>
  <si>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</si>
  <si>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</si>
  <si>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</si>
  <si>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</si>
  <si>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</si>
  <si>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</si>
  <si>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</si>
  <si>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</si>
  <si>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</si>
  <si>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</si>
  <si>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</si>
  <si>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</si>
  <si>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</si>
  <si>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</si>
  <si>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</si>
  <si>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</si>
  <si>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</si>
  <si>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</si>
  <si>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</si>
  <si>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</si>
  <si>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</si>
  <si>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</si>
  <si>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</si>
  <si>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</si>
  <si>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</si>
  <si>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</si>
  <si>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</si>
  <si>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</si>
  <si>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</si>
  <si>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</si>
  <si>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</si>
  <si>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</si>
  <si>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</si>
  <si>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</si>
  <si>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</si>
  <si>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</si>
  <si>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</si>
  <si>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</si>
  <si>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</si>
  <si>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</si>
  <si>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</si>
  <si>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</si>
  <si>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</si>
  <si>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</si>
  <si>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</si>
  <si>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</si>
  <si>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</si>
  <si>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</si>
  <si>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</si>
  <si>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</si>
  <si>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</si>
  <si>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</si>
  <si>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</si>
  <si>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</si>
  <si>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</si>
  <si>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</si>
  <si>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</si>
  <si>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</si>
  <si>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</si>
  <si>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</si>
  <si>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</si>
  <si>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</si>
  <si>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</si>
  <si>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</si>
  <si>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</si>
  <si>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</si>
  <si>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</si>
  <si>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</si>
  <si>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</si>
  <si>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</si>
  <si>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</si>
  <si>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</si>
  <si>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</si>
  <si>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</si>
  <si>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</si>
  <si>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</si>
  <si>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</si>
  <si>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</si>
  <si>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</si>
  <si>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</si>
  <si>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</si>
  <si>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</si>
  <si>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</si>
  <si>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</si>
  <si>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</si>
  <si>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</si>
  <si>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</si>
  <si>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</si>
  <si>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</si>
  <si>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</si>
  <si>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</si>
  <si>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</si>
  <si>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</si>
  <si>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</si>
  <si>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</si>
  <si>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</si>
  <si>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</si>
  <si>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</si>
  <si>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</si>
  <si>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</si>
  <si>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</si>
  <si>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</si>
  <si>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</si>
  <si>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</si>
  <si>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</si>
  <si>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</si>
  <si>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</si>
  <si>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</si>
  <si>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</si>
  <si>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</si>
  <si>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</si>
  <si>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</si>
  <si>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</si>
  <si>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</si>
  <si>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</si>
  <si>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</si>
  <si>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</si>
  <si>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</si>
  <si>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</si>
  <si>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</si>
  <si>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</si>
  <si>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</si>
  <si>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</si>
  <si>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</si>
  <si>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</si>
  <si>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</si>
  <si>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</si>
  <si>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</si>
  <si>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</si>
  <si>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</si>
  <si>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</si>
  <si>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</si>
  <si>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</si>
  <si>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</si>
  <si>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</si>
  <si>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</si>
  <si>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</si>
  <si>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</si>
  <si>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7810314264</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</si>
  <si>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</si>
  <si>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</si>
  <si>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</si>
  <si>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</si>
  <si>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</si>
  <si>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</si>
  <si>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</si>
  <si>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</si>
  <si>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</si>
  <si>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</si>
  <si>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</si>
  <si>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</si>
  <si>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</si>
  <si>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</si>
  <si>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</si>
  <si>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</si>
  <si>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</si>
  <si>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</si>
  <si>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</si>
  <si>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</si>
  <si>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</si>
  <si>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</si>
  <si>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</si>
  <si>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L_SERVICE_CLEANING</t>
  </si>
  <si>
    <t>L_SERVICE_TRANSMISSION</t>
  </si>
  <si>
    <t>L_PR_IC</t>
  </si>
  <si>
    <t>L_PR_CL</t>
  </si>
  <si>
    <t>L_CLN_IC</t>
  </si>
  <si>
    <t>L_CLN_CL</t>
  </si>
  <si>
    <t>L_TR_IC</t>
  </si>
  <si>
    <t>L_TR_CL</t>
  </si>
  <si>
    <t>муниципальное имущество</t>
  </si>
  <si>
    <t>хозяйственное ведение</t>
  </si>
  <si>
    <t>https://portal.eias.ru/Portal/DownloadPage.aspx?type=12&amp;guid=b7153568-966e-4b06-85fe-4ec6118207bd</t>
  </si>
  <si>
    <t>эксплуатируется</t>
  </si>
  <si>
    <t>постановление</t>
  </si>
  <si>
    <t>370</t>
  </si>
  <si>
    <t>02.08.2021</t>
  </si>
  <si>
    <t>200</t>
  </si>
  <si>
    <t>Сети п. Факел</t>
  </si>
  <si>
    <t>п. Факел</t>
  </si>
  <si>
    <t>60</t>
  </si>
  <si>
    <t>680</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</si>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</sst>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89"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90" fontId="0" fillId="39" borderId="11"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1" fontId="22" fillId="39" borderId="12" xfId="0" applyFont="1" applyFill="1" applyBorder="1" applyNumberFormat="1">
      <alignment horizontal="center" vertical="center" wrapText="1"/>
      <protection locked="0"/>
    </xf>
    <xf numFmtId="1" fontId="22" fillId="39" borderId="63" xfId="0" applyFont="1" applyFill="1" applyBorder="1" applyNumberFormat="1">
      <alignment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0" fontId="29" fillId="0" borderId="0" xfId="0" applyFont="1"/>
    <xf numFmtId="1" fontId="22" fillId="36" borderId="12" xfId="0" applyFont="1" applyFill="1" applyBorder="1" applyNumberFormat="1">
      <alignment horizontal="center" vertical="center" wrapText="1"/>
      <protection locked="0"/>
    </xf>
    <xf numFmtId="1" fontId="22" fillId="36" borderId="63" xfId="0" applyFont="1" applyFill="1" applyBorder="1" applyNumberFormat="1">
      <alignmen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ccadfaa2-9a2e-44c8-a205-8821d66aa9be" TargetMode="External"/><Relationship Id="rId2" Type="http://schemas.openxmlformats.org/officeDocument/2006/relationships/hyperlink" Target="https://portal.eias.ru/Portal/DownloadPage.aspx?type=12&amp;guid=ccadfaa2-9a2e-44c8-a205-8821d66aa9be"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1B94D-C2FF-4237-58B8-0.DDF049A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0" width="5.421875" customWidth="1"/>
    <col min="2" max="2" style="2670" width="9.140625" customWidth="1"/>
    <col min="3" max="3" style="2670" width="16.421875" customWidth="1"/>
    <col min="4" max="25" style="2670" width="6.28125" customWidth="1"/>
    <col min="26" max="28" style="2670"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97" t="s">
        <v>1</v>
      </c>
      <c r="C2" s="2097"/>
      <c r="D2" s="2097"/>
      <c r="E2" s="2097"/>
      <c r="F2" s="2097"/>
      <c r="G2" s="2097"/>
      <c r="H2" s="2097"/>
      <c r="I2" s="2097"/>
      <c r="J2" s="2097"/>
      <c r="K2" s="2097"/>
      <c r="L2" s="2097"/>
      <c r="M2" s="2097"/>
      <c r="N2" s="2097"/>
      <c r="O2" s="2097"/>
      <c r="P2" s="2097"/>
      <c r="Q2" s="1711"/>
      <c r="R2" s="1711"/>
      <c r="S2" s="1711"/>
      <c r="T2" s="1711"/>
      <c r="U2" s="1711"/>
      <c r="V2" s="1712"/>
      <c r="W2" s="1711"/>
      <c r="X2" s="1711"/>
      <c r="Y2" s="1708"/>
      <c r="Z2" s="1707"/>
      <c r="AA2" s="1709"/>
      <c r="AB2" s="1707"/>
    </row>
    <row customHeight="1" ht="15.75">
      <c r="A3" s="1707"/>
      <c r="B3" s="2098" t="s">
        <v>2</v>
      </c>
      <c r="C3" s="2098"/>
      <c r="D3" s="2098"/>
      <c r="E3" s="2098"/>
      <c r="F3" s="2098"/>
      <c r="G3" s="2098"/>
      <c r="H3" s="2098"/>
      <c r="I3" s="2098"/>
      <c r="J3" s="2098"/>
      <c r="K3" s="2098"/>
      <c r="L3" s="2098"/>
      <c r="M3" s="2098"/>
      <c r="N3" s="2098"/>
      <c r="O3" s="2098"/>
      <c r="P3" s="2098"/>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99"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0"/>
      <c r="D5" s="2100"/>
      <c r="E5" s="2100"/>
      <c r="F5" s="2100"/>
      <c r="G5" s="2100"/>
      <c r="H5" s="2100"/>
      <c r="I5" s="2100"/>
      <c r="J5" s="2100"/>
      <c r="K5" s="2100"/>
      <c r="L5" s="2100"/>
      <c r="M5" s="2100"/>
      <c r="N5" s="2100"/>
      <c r="O5" s="2100"/>
      <c r="P5" s="2100"/>
      <c r="Q5" s="2100"/>
      <c r="R5" s="2100"/>
      <c r="S5" s="2100"/>
      <c r="T5" s="2100"/>
      <c r="U5" s="2100"/>
      <c r="V5" s="2100"/>
      <c r="W5" s="2100"/>
      <c r="X5" s="2100"/>
      <c r="Y5" s="2101"/>
      <c r="Z5" s="1714"/>
      <c r="AA5" s="1709"/>
      <c r="AB5" s="1714"/>
    </row>
    <row customHeight="1" ht="15">
      <c r="A6" s="1715"/>
      <c r="B6" s="2102" t="s">
        <v>3</v>
      </c>
      <c r="C6" s="2103"/>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102"/>
      <c r="C7" s="2103"/>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102"/>
      <c r="C8" s="2103"/>
      <c r="D8" s="1721"/>
      <c r="E8" s="1722" t="s">
        <v>4</v>
      </c>
      <c r="F8" s="2105" t="s">
        <v>5</v>
      </c>
      <c r="G8" s="2106"/>
      <c r="H8" s="2106"/>
      <c r="I8" s="2106"/>
      <c r="J8" s="2106"/>
      <c r="K8" s="2106"/>
      <c r="L8" s="2106"/>
      <c r="M8" s="2106"/>
      <c r="N8" s="1721"/>
      <c r="O8" s="1723" t="s">
        <v>4</v>
      </c>
      <c r="P8" s="2107" t="s">
        <v>6</v>
      </c>
      <c r="Q8" s="2108"/>
      <c r="R8" s="2108"/>
      <c r="S8" s="2108"/>
      <c r="T8" s="2108"/>
      <c r="U8" s="2108"/>
      <c r="V8" s="2108"/>
      <c r="W8" s="2108"/>
      <c r="X8" s="2108"/>
      <c r="Y8" s="1717"/>
      <c r="Z8" s="1718"/>
      <c r="AA8" s="1719"/>
      <c r="AB8" s="1719"/>
    </row>
    <row customHeight="1" ht="15">
      <c r="A9" s="1715"/>
      <c r="B9" s="2102"/>
      <c r="C9" s="2103"/>
      <c r="D9" s="1721"/>
      <c r="E9" s="1724" t="s">
        <v>4</v>
      </c>
      <c r="F9" s="2105" t="s">
        <v>7</v>
      </c>
      <c r="G9" s="2106"/>
      <c r="H9" s="2106"/>
      <c r="I9" s="2106"/>
      <c r="J9" s="2106"/>
      <c r="K9" s="2106"/>
      <c r="L9" s="2106"/>
      <c r="M9" s="2106"/>
      <c r="N9" s="1721"/>
      <c r="O9" s="1725" t="s">
        <v>4</v>
      </c>
      <c r="P9" s="2107" t="s">
        <v>8</v>
      </c>
      <c r="Q9" s="2108"/>
      <c r="R9" s="2108"/>
      <c r="S9" s="2108"/>
      <c r="T9" s="2108"/>
      <c r="U9" s="2108"/>
      <c r="V9" s="2108"/>
      <c r="W9" s="2108"/>
      <c r="X9" s="2108"/>
      <c r="Y9" s="1717"/>
      <c r="Z9" s="1718"/>
      <c r="AA9" s="1719"/>
      <c r="AB9" s="1719"/>
    </row>
    <row customHeight="1" ht="30">
      <c r="A10" s="1715"/>
      <c r="B10" s="2102"/>
      <c r="C10" s="2104"/>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109" t="s">
        <v>9</v>
      </c>
      <c r="C11" s="2110"/>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102"/>
      <c r="C12" s="2104"/>
      <c r="D12" s="1729"/>
      <c r="E12" s="2106" t="s">
        <v>10</v>
      </c>
      <c r="F12" s="2106"/>
      <c r="G12" s="2106"/>
      <c r="H12" s="2106"/>
      <c r="I12" s="2106"/>
      <c r="J12" s="2106"/>
      <c r="K12" s="2106"/>
      <c r="L12" s="2106"/>
      <c r="M12" s="2106"/>
      <c r="N12" s="2106"/>
      <c r="O12" s="2106"/>
      <c r="P12" s="2106"/>
      <c r="Q12" s="2106"/>
      <c r="R12" s="2106"/>
      <c r="S12" s="2106"/>
      <c r="T12" s="2106"/>
      <c r="U12" s="2106"/>
      <c r="V12" s="2106"/>
      <c r="W12" s="2106"/>
      <c r="X12" s="2106"/>
      <c r="Y12" s="1717"/>
      <c r="Z12" s="1718"/>
      <c r="AA12" s="1719"/>
      <c r="AB12" s="1719"/>
    </row>
    <row customHeight="1" ht="15">
      <c r="A13" s="1715"/>
      <c r="B13" s="2109" t="s">
        <v>11</v>
      </c>
      <c r="C13" s="2110"/>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102"/>
      <c r="C14" s="2103"/>
      <c r="D14" s="1721"/>
      <c r="E14" s="2113" t="s">
        <v>12</v>
      </c>
      <c r="F14" s="2113"/>
      <c r="G14" s="2113"/>
      <c r="H14" s="2113"/>
      <c r="I14" s="2113"/>
      <c r="J14" s="2113"/>
      <c r="K14" s="2113"/>
      <c r="L14" s="2113"/>
      <c r="M14" s="2113"/>
      <c r="N14" s="2113"/>
      <c r="O14" s="2113"/>
      <c r="P14" s="2113"/>
      <c r="Q14" s="2113"/>
      <c r="R14" s="2113"/>
      <c r="S14" s="2113"/>
      <c r="T14" s="2113"/>
      <c r="U14" s="2113"/>
      <c r="V14" s="2113"/>
      <c r="W14" s="2113"/>
      <c r="X14" s="2113"/>
      <c r="Y14" s="1717"/>
      <c r="Z14" s="1718"/>
      <c r="AA14" s="1719"/>
      <c r="AB14" s="1719"/>
    </row>
    <row customHeight="1" ht="16.5">
      <c r="A15" s="1715"/>
      <c r="B15" s="2111"/>
      <c r="C15" s="2112"/>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113"/>
      <c r="C16" s="2114"/>
      <c r="D16" s="2114"/>
      <c r="E16" s="2114"/>
      <c r="F16" s="2114"/>
      <c r="G16" s="2114"/>
      <c r="H16" s="2114"/>
      <c r="I16" s="2114"/>
      <c r="J16" s="2114"/>
      <c r="K16" s="2114"/>
      <c r="L16" s="2114"/>
      <c r="M16" s="2114"/>
      <c r="N16" s="2114"/>
      <c r="O16" s="2114"/>
      <c r="P16" s="2114"/>
      <c r="Q16" s="2114"/>
      <c r="R16" s="2114"/>
      <c r="S16" s="2114"/>
      <c r="T16" s="2114"/>
      <c r="U16" s="2114"/>
      <c r="V16" s="2114"/>
      <c r="W16" s="2114"/>
      <c r="X16" s="2114"/>
      <c r="Y16" s="2114"/>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B6B82-F625-3C83-C40E-0.07C0A3F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3" style="1642" width="9.140625" hidden="1" customWidth="1"/>
    <col min="4" max="4" style="1846"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5" width="7.00390625" customWidth="1"/>
    <col min="14" max="22" style="1642" width="10.00390625" customWidth="1"/>
    <col min="23" max="23" style="1642" width="10.57421875" hidden="1"/>
  </cols>
  <sheetData>
    <row s="1649" customFormat="1" customHeight="1" ht="5.25" hidden="1">
      <c r="C1" s="518"/>
      <c r="D1" s="501"/>
      <c r="F1" s="518"/>
      <c r="G1" s="496" t="s">
        <v>82</v>
      </c>
      <c r="H1" s="496" t="s">
        <v>83</v>
      </c>
      <c r="I1" s="496" t="s">
        <v>84</v>
      </c>
      <c r="P1" s="496" t="s">
        <v>82</v>
      </c>
      <c r="Q1" s="496" t="s">
        <v>83</v>
      </c>
      <c r="R1" s="496" t="s">
        <v>84</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58" t="s">
        <v>387</v>
      </c>
      <c r="F4" s="2258"/>
      <c r="G4" s="2259"/>
      <c r="H4" s="2259"/>
      <c r="I4" s="2260"/>
      <c r="J4" s="498"/>
      <c r="K4" s="460"/>
      <c r="L4" s="460"/>
      <c r="W4" s="454">
        <v>22</v>
      </c>
    </row>
    <row s="1642" customFormat="1" customHeight="1" ht="18">
      <c r="A5" s="766"/>
      <c r="D5" s="829"/>
      <c r="E5" s="2234" t="str">
        <f>IF(org=0,"Не определено",org)</f>
        <v>ИМУП «ПОСЖИЛКОМСЕРВИС»</v>
      </c>
      <c r="F5" s="2234"/>
      <c r="G5" s="2235"/>
      <c r="H5" s="2235"/>
      <c r="I5" s="2236"/>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28" t="s">
        <v>299</v>
      </c>
      <c r="F7" s="2228"/>
      <c r="G7" s="2229"/>
      <c r="H7" s="2229"/>
      <c r="I7" s="2229"/>
      <c r="J7" s="2229"/>
      <c r="K7" s="2229"/>
      <c r="L7" s="2243" t="s">
        <v>300</v>
      </c>
      <c r="W7" s="454">
        <v>14</v>
      </c>
    </row>
    <row customHeight="1" ht="48.29999999999999">
      <c r="D8" s="457"/>
      <c r="E8" s="480" t="s">
        <v>87</v>
      </c>
      <c r="F8" s="830"/>
      <c r="G8" s="472" t="s">
        <v>85</v>
      </c>
      <c r="H8" s="472" t="s">
        <v>86</v>
      </c>
      <c r="I8" s="421" t="s">
        <v>84</v>
      </c>
      <c r="J8" s="421" t="s">
        <v>388</v>
      </c>
      <c r="K8" s="421" t="s">
        <v>389</v>
      </c>
      <c r="L8" s="2243"/>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41" t="s">
        <v>390</v>
      </c>
      <c r="M10" s="514"/>
      <c r="N10" s="512"/>
      <c r="O10" s="512"/>
      <c r="P10" s="512"/>
      <c r="Q10" s="512"/>
      <c r="R10" s="512"/>
      <c r="S10" s="512"/>
      <c r="T10" s="512"/>
      <c r="U10" s="512"/>
      <c r="V10" s="512"/>
      <c r="W10" s="454">
        <v>0</v>
      </c>
    </row>
    <row customHeight="1" ht="15" hidden="1">
      <c r="A11" s="2119"/>
      <c r="B11" s="511"/>
      <c r="C11" s="511"/>
      <c r="D11" s="872"/>
      <c r="E11" s="520"/>
      <c r="F11" s="520"/>
      <c r="G11" s="520"/>
      <c r="H11" s="520"/>
      <c r="I11" s="521"/>
      <c r="J11" s="522"/>
      <c r="K11" s="720"/>
      <c r="L11" s="2261"/>
      <c r="M11" s="518"/>
      <c r="N11" s="518"/>
      <c r="O11" s="518"/>
      <c r="P11" s="523"/>
      <c r="Q11" s="523"/>
      <c r="R11" s="524"/>
      <c r="S11" s="518"/>
      <c r="T11" s="518"/>
      <c r="U11" s="518"/>
      <c r="V11" s="518"/>
      <c r="W11" s="454">
        <v>0</v>
      </c>
    </row>
    <row s="1619" customFormat="1" customHeight="1" ht="15">
      <c r="A12" s="2119"/>
      <c r="B12" s="511"/>
      <c r="C12" s="511"/>
      <c r="D12" s="873"/>
      <c r="E12" s="830">
        <v>1</v>
      </c>
      <c r="F12" s="871">
        <v>23</v>
      </c>
      <c r="G12" s="870"/>
      <c r="H12" s="800"/>
      <c r="I12" s="798"/>
      <c r="J12" s="527" t="s">
        <v>61</v>
      </c>
      <c r="K12" s="1171" t="s">
        <v>22</v>
      </c>
      <c r="L12" s="2261"/>
      <c r="M12" s="518"/>
      <c r="N12" s="518"/>
      <c r="O12" s="518"/>
      <c r="P12" s="523" t="s">
        <v>391</v>
      </c>
      <c r="Q12" s="523" t="s">
        <v>392</v>
      </c>
      <c r="R12" s="524" t="s">
        <v>393</v>
      </c>
      <c r="S12" s="518" t="s">
        <v>394</v>
      </c>
      <c r="T12" s="518"/>
      <c r="U12" s="518"/>
      <c r="V12" s="518"/>
      <c r="W12" s="487">
        <v>14</v>
      </c>
    </row>
    <row customHeight="1" ht="15.75">
      <c r="A13" s="2119"/>
      <c r="B13" s="512"/>
      <c r="D13" s="513"/>
      <c r="E13" s="412"/>
      <c r="F13" s="536"/>
      <c r="G13" s="423" t="s">
        <v>102</v>
      </c>
      <c r="H13" s="411"/>
      <c r="I13" s="411"/>
      <c r="J13" s="411"/>
      <c r="K13" s="410"/>
      <c r="L13" s="2242"/>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81</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94DA6-B1C4-3729-6AF7-0.6F1C23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78">
        <v>1</v>
      </c>
      <c r="F2" s="1370"/>
      <c r="G2" s="1370"/>
      <c r="H2" s="1370"/>
      <c r="I2" s="1370"/>
      <c r="J2" s="1370"/>
      <c r="K2" s="1370"/>
      <c r="L2" s="1371"/>
      <c r="M2" s="1372"/>
      <c r="N2" s="1372"/>
      <c r="O2" s="1372"/>
      <c r="P2" s="368"/>
      <c r="Q2" s="367"/>
      <c r="R2" s="362"/>
      <c r="S2" s="1316">
        <f>INDEX(PT_DIFFERENTIATION_NUM_NTAR,MATCH(A2,PT_DIFFERENTIATION_NTAR_ID,0))</f>
      </c>
      <c r="T2" s="305" t="s">
        <v>124</v>
      </c>
      <c r="U2" s="307"/>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65" t="s">
        <v>395</v>
      </c>
      <c r="AO2" s="507"/>
      <c r="AP2" s="507" t="str">
        <f>IF(T2="","",T2)</f>
        <v>Наименование тарифа</v>
      </c>
      <c r="AQ2" s="507"/>
      <c r="AR2" s="507"/>
      <c r="AS2" s="1162">
        <v>0</v>
      </c>
    </row>
    <row customHeight="1" ht="21" hidden="1">
      <c r="A3" s="1370"/>
      <c r="B3" s="1370"/>
      <c r="C3" s="1370"/>
      <c r="D3" s="1370"/>
      <c r="E3" s="2279"/>
      <c r="F3" s="2278">
        <v>1</v>
      </c>
      <c r="G3" s="1370"/>
      <c r="H3" s="1370"/>
      <c r="I3" s="1370"/>
      <c r="J3" s="1370"/>
      <c r="K3" s="1370"/>
      <c r="L3" s="1371"/>
      <c r="M3" s="1372"/>
      <c r="N3" s="1372"/>
      <c r="O3" s="1372"/>
      <c r="P3" s="1311"/>
      <c r="Q3" s="359"/>
      <c r="R3" s="360"/>
      <c r="S3" s="1316">
        <f>INDEX(PT_DIFFERENTIATION_NUM_TER,MATCH(B3,PT_DIFFERENTIATION_TER_ID,0))</f>
      </c>
      <c r="T3" s="315" t="s">
        <v>396</v>
      </c>
      <c r="U3" s="307"/>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65" t="s">
        <v>397</v>
      </c>
      <c r="AO3" s="507"/>
      <c r="AP3" s="507" t="str">
        <f>IF(T3="","",T3)</f>
        <v>Территория действия тарифа</v>
      </c>
      <c r="AQ3" s="507"/>
      <c r="AR3" s="507"/>
      <c r="AS3" s="1162">
        <v>0</v>
      </c>
    </row>
    <row customHeight="1" ht="23.25" hidden="1">
      <c r="A4" s="1370"/>
      <c r="B4" s="1370"/>
      <c r="C4" s="1370"/>
      <c r="D4" s="1370"/>
      <c r="E4" s="2279"/>
      <c r="F4" s="2279"/>
      <c r="G4" s="2278">
        <v>1</v>
      </c>
      <c r="H4" s="1370"/>
      <c r="I4" s="1370"/>
      <c r="J4" s="1370"/>
      <c r="K4" s="1370"/>
      <c r="L4" s="1371"/>
      <c r="M4" s="1372"/>
      <c r="N4" s="1372"/>
      <c r="O4" s="1372"/>
      <c r="P4" s="361"/>
      <c r="Q4" s="359"/>
      <c r="R4" s="360"/>
      <c r="S4" s="1316">
        <f>INDEX(PT_DIFFERENTIATION_NUM_CS,MATCH(C4,PT_DIFFERENTIATION_CS_ID,0))</f>
      </c>
      <c r="T4" s="316" t="s">
        <v>398</v>
      </c>
      <c r="U4" s="307"/>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65" t="s">
        <v>399</v>
      </c>
      <c r="AO4" s="507"/>
      <c r="AP4" s="507" t="str">
        <f>IF(T4="","",T4)</f>
        <v>Наименование системы теплоснабжения </v>
      </c>
      <c r="AQ4" s="507"/>
      <c r="AR4" s="507"/>
      <c r="AS4" s="1162">
        <v>0</v>
      </c>
    </row>
    <row customHeight="1" ht="21" hidden="1">
      <c r="A5" s="1370"/>
      <c r="B5" s="1370"/>
      <c r="C5" s="1370"/>
      <c r="D5" s="1370"/>
      <c r="E5" s="2279"/>
      <c r="F5" s="2279"/>
      <c r="G5" s="2279"/>
      <c r="H5" s="2278">
        <v>1</v>
      </c>
      <c r="I5" s="1370"/>
      <c r="J5" s="1370"/>
      <c r="K5" s="1370"/>
      <c r="L5" s="1371"/>
      <c r="M5" s="1372"/>
      <c r="N5" s="1372"/>
      <c r="O5" s="1372"/>
      <c r="P5" s="361"/>
      <c r="Q5" s="359"/>
      <c r="R5" s="360"/>
      <c r="S5" s="1316">
        <f>INDEX(PT_DIFFERENTIATION_NUM_IST_TE,MATCH(D5,PT_DIFFERENTIATION_IST_TE_ID,0))</f>
      </c>
      <c r="T5" s="317" t="s">
        <v>400</v>
      </c>
      <c r="U5" s="307"/>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65" t="s">
        <v>401</v>
      </c>
      <c r="AO5" s="507"/>
      <c r="AP5" s="507" t="str">
        <f>IF(T5="","",T5)</f>
        <v>Источник тепловой энергии  </v>
      </c>
      <c r="AQ5" s="507"/>
      <c r="AR5" s="507"/>
      <c r="AS5" s="1162">
        <v>0</v>
      </c>
    </row>
    <row customHeight="1" ht="47.25" hidden="1">
      <c r="A6" s="1370"/>
      <c r="B6" s="1370"/>
      <c r="C6" s="1370"/>
      <c r="D6" s="1370"/>
      <c r="E6" s="2279"/>
      <c r="F6" s="2279"/>
      <c r="G6" s="2279"/>
      <c r="H6" s="2279"/>
      <c r="I6" s="2276">
        <f>S5&amp;".1"</f>
      </c>
      <c r="J6" s="1370"/>
      <c r="K6" s="1370"/>
      <c r="L6" s="1371" t="s">
        <v>402</v>
      </c>
      <c r="M6" s="544"/>
      <c r="P6" s="2277">
        <v>1</v>
      </c>
      <c r="Q6" s="1312"/>
      <c r="R6" s="363"/>
      <c r="S6" s="1316">
        <f>$I6</f>
      </c>
      <c r="T6" s="292" t="s">
        <v>403</v>
      </c>
      <c r="U6" s="307"/>
      <c r="V6" s="2265"/>
      <c r="W6" s="2266"/>
      <c r="X6" s="2266"/>
      <c r="Y6" s="2266"/>
      <c r="Z6" s="2266"/>
      <c r="AA6" s="2266"/>
      <c r="AB6" s="2266"/>
      <c r="AC6" s="2267"/>
      <c r="AD6" s="2265"/>
      <c r="AE6" s="2266"/>
      <c r="AF6" s="2266"/>
      <c r="AG6" s="2266"/>
      <c r="AH6" s="2266"/>
      <c r="AI6" s="2266"/>
      <c r="AJ6" s="2266"/>
      <c r="AK6" s="2266"/>
      <c r="AL6" s="2267"/>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79"/>
      <c r="F7" s="2279"/>
      <c r="G7" s="2279"/>
      <c r="H7" s="2279"/>
      <c r="I7" s="2306"/>
      <c r="J7" s="2276">
        <f>I6&amp;".1"</f>
      </c>
      <c r="K7" s="1370"/>
      <c r="L7" s="1371" t="s">
        <v>405</v>
      </c>
      <c r="M7" s="544"/>
      <c r="N7" s="1373"/>
      <c r="P7" s="2277"/>
      <c r="Q7" s="2277">
        <v>1</v>
      </c>
      <c r="R7" s="364"/>
      <c r="S7" s="1316">
        <f>$J7</f>
      </c>
      <c r="T7" s="293" t="s">
        <v>406</v>
      </c>
      <c r="U7" s="307"/>
      <c r="V7" s="2265"/>
      <c r="W7" s="2266"/>
      <c r="X7" s="2266"/>
      <c r="Y7" s="2266"/>
      <c r="Z7" s="2266"/>
      <c r="AA7" s="2266"/>
      <c r="AB7" s="2266"/>
      <c r="AC7" s="2267"/>
      <c r="AD7" s="2265"/>
      <c r="AE7" s="2266"/>
      <c r="AF7" s="2266"/>
      <c r="AG7" s="2266"/>
      <c r="AH7" s="2266"/>
      <c r="AI7" s="2266"/>
      <c r="AJ7" s="2266"/>
      <c r="AK7" s="2266"/>
      <c r="AL7" s="2267"/>
      <c r="AM7" s="1265" t="s">
        <v>407</v>
      </c>
      <c r="AO7" s="507"/>
      <c r="AP7" s="507" t="str">
        <f>IF(T7="","",T7)</f>
        <v>Группа потребителей</v>
      </c>
      <c r="AQ7" s="507"/>
      <c r="AR7" s="507"/>
      <c r="AS7" s="1162">
        <v>0</v>
      </c>
    </row>
    <row customHeight="1" ht="21" hidden="1">
      <c r="A8" s="1370"/>
      <c r="B8" s="1370"/>
      <c r="C8" s="1370"/>
      <c r="D8" s="1370"/>
      <c r="E8" s="2279"/>
      <c r="F8" s="2279"/>
      <c r="G8" s="2279"/>
      <c r="H8" s="2279"/>
      <c r="I8" s="2306"/>
      <c r="J8" s="2306"/>
      <c r="K8" s="2276">
        <f>J7&amp;".1"</f>
      </c>
      <c r="L8" s="1371" t="s">
        <v>408</v>
      </c>
      <c r="M8" s="544"/>
      <c r="N8" s="1373"/>
      <c r="O8" s="1373"/>
      <c r="P8" s="2277"/>
      <c r="Q8" s="2277"/>
      <c r="R8" s="364">
        <v>1</v>
      </c>
      <c r="S8" s="1316">
        <f>$K8</f>
      </c>
      <c r="T8" s="1354"/>
      <c r="U8" s="307"/>
      <c r="V8" s="758"/>
      <c r="W8" s="332"/>
      <c r="X8" s="758"/>
      <c r="Y8" s="1264"/>
      <c r="Z8" s="2285"/>
      <c r="AA8" s="2127" t="s">
        <v>61</v>
      </c>
      <c r="AB8" s="2285"/>
      <c r="AC8" s="2127" t="s">
        <v>61</v>
      </c>
      <c r="AD8" s="758"/>
      <c r="AE8" s="332"/>
      <c r="AF8" s="758"/>
      <c r="AG8" s="1264"/>
      <c r="AH8" s="2285"/>
      <c r="AI8" s="2127" t="s">
        <v>61</v>
      </c>
      <c r="AJ8" s="2285"/>
      <c r="AK8" s="2127" t="s">
        <v>61</v>
      </c>
      <c r="AL8" s="332"/>
      <c r="AM8" s="2273" t="s">
        <v>409</v>
      </c>
      <c r="AN8" s="518">
        <f>STRCHECKDATE(V9:AL9)</f>
      </c>
      <c r="AO8" s="507"/>
      <c r="AP8" s="507" t="str">
        <f>IF(T8="","",T8)</f>
        <v/>
      </c>
      <c r="AQ8" s="507"/>
      <c r="AR8" s="507"/>
      <c r="AS8" s="1162">
        <v>0</v>
      </c>
    </row>
    <row customHeight="1" ht="0.75" hidden="1">
      <c r="A9" s="1370"/>
      <c r="B9" s="1370"/>
      <c r="C9" s="1370"/>
      <c r="D9" s="1370"/>
      <c r="E9" s="2279"/>
      <c r="F9" s="2279"/>
      <c r="G9" s="2279"/>
      <c r="H9" s="2279"/>
      <c r="I9" s="2306"/>
      <c r="J9" s="2306"/>
      <c r="K9" s="2276"/>
      <c r="L9" s="1371"/>
      <c r="M9" s="544"/>
      <c r="N9" s="1373"/>
      <c r="O9" s="1373"/>
      <c r="P9" s="2277"/>
      <c r="Q9" s="2277"/>
      <c r="R9" s="364"/>
      <c r="S9" s="1313"/>
      <c r="T9" s="307"/>
      <c r="U9" s="307"/>
      <c r="V9" s="332"/>
      <c r="W9" s="332"/>
      <c r="X9" s="332"/>
      <c r="Y9" s="335" t="str">
        <f>Z8&amp;"-"&amp;AB8</f>
        <v>-</v>
      </c>
      <c r="Z9" s="2286"/>
      <c r="AA9" s="2127"/>
      <c r="AB9" s="2286"/>
      <c r="AC9" s="2127"/>
      <c r="AD9" s="332"/>
      <c r="AE9" s="332"/>
      <c r="AF9" s="332"/>
      <c r="AG9" s="335" t="str">
        <f>AH8&amp;"-"&amp;AJ8</f>
        <v>-</v>
      </c>
      <c r="AH9" s="2286"/>
      <c r="AI9" s="2127"/>
      <c r="AJ9" s="2286"/>
      <c r="AK9" s="2127"/>
      <c r="AL9" s="332"/>
      <c r="AM9" s="2274"/>
      <c r="AO9" s="507"/>
      <c r="AP9" s="507" t="str">
        <f>IF(T9="","",T9)</f>
        <v/>
      </c>
      <c r="AQ9" s="507"/>
      <c r="AR9" s="507"/>
      <c r="AS9" s="1162">
        <v>0</v>
      </c>
    </row>
    <row customHeight="1" ht="15" hidden="1">
      <c r="A10" s="1370"/>
      <c r="B10" s="1370"/>
      <c r="C10" s="1370"/>
      <c r="D10" s="1370"/>
      <c r="E10" s="2279"/>
      <c r="F10" s="2279"/>
      <c r="G10" s="2279"/>
      <c r="H10" s="2279"/>
      <c r="I10" s="2306"/>
      <c r="J10" s="2276"/>
      <c r="K10" s="1370"/>
      <c r="L10" s="1371"/>
      <c r="M10" s="544"/>
      <c r="N10" s="1373"/>
      <c r="P10" s="2277"/>
      <c r="Q10" s="2277"/>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75"/>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79"/>
      <c r="F11" s="2279"/>
      <c r="G11" s="2279"/>
      <c r="H11" s="2279"/>
      <c r="I11" s="2276"/>
      <c r="J11" s="1370"/>
      <c r="K11" s="1370"/>
      <c r="L11" s="1371"/>
      <c r="M11" s="544"/>
      <c r="P11" s="2277"/>
      <c r="Q11" s="1312"/>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79"/>
      <c r="F12" s="2279"/>
      <c r="G12" s="2279"/>
      <c r="H12" s="2278"/>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79"/>
      <c r="F13" s="2279"/>
      <c r="G13" s="2278"/>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79"/>
      <c r="F14" s="2278"/>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78"/>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87"/>
      <c r="AI17" s="2288" t="s">
        <v>61</v>
      </c>
      <c r="AJ17" s="2287"/>
      <c r="AK17" s="2288" t="s">
        <v>61</v>
      </c>
      <c r="AS17" s="1162">
        <v>0</v>
      </c>
    </row>
    <row customHeight="1" ht="14.25" hidden="1">
      <c r="P18" s="1318"/>
      <c r="AD18" s="1367"/>
      <c r="AE18" s="1367"/>
      <c r="AF18" s="1367"/>
      <c r="AG18" s="335" t="str">
        <f>AH17&amp;"-"&amp;AJ17</f>
        <v>-</v>
      </c>
      <c r="AH18" s="2288"/>
      <c r="AI18" s="2288"/>
      <c r="AJ18" s="2288"/>
      <c r="AK18" s="2288"/>
      <c r="AS18" s="1162">
        <v>0</v>
      </c>
    </row>
    <row customHeight="1" ht="14.25" hidden="1">
      <c r="P19" s="1318"/>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50"/>
      <c r="AS26" s="1162">
        <v>14</v>
      </c>
    </row>
    <row customHeight="1" ht="14.699999999999998">
      <c r="Q27" s="383"/>
      <c r="R27" s="383"/>
      <c r="S27" s="2269" t="str">
        <f>IF(org=0,"Не определено",org)</f>
        <v>ИМУП «ПОСЖИЛКОМСЕРВИС»</v>
      </c>
      <c r="T27" s="2269"/>
      <c r="U27" s="2269"/>
      <c r="V27" s="2269"/>
      <c r="W27" s="2269"/>
      <c r="X27" s="2269"/>
      <c r="Y27" s="2269"/>
      <c r="Z27" s="2269"/>
      <c r="AA27" s="2269"/>
      <c r="AB27" s="2269"/>
      <c r="AC27" s="2269"/>
      <c r="AD27" s="2269"/>
      <c r="AE27" s="2269"/>
      <c r="AF27" s="2269"/>
      <c r="AG27" s="2269"/>
      <c r="AH27" s="2269"/>
      <c r="AI27" s="2269"/>
      <c r="AJ27" s="2269"/>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0" t="s">
        <v>41</v>
      </c>
      <c r="T29" s="2270"/>
      <c r="U29" s="1379"/>
      <c r="V29" s="2271" t="str">
        <f>IF(TITLE_NAME_OR_PR_CHANGE="",IF(TITLE_NAME_OR_PR="","",TITLE_NAME_OR_PR),TITLE_NAME_OR_PR_CHANGE)</f>
        <v/>
      </c>
      <c r="W29" s="2271"/>
      <c r="X29" s="2271"/>
      <c r="Y29" s="2271"/>
      <c r="Z29" s="2271"/>
      <c r="AA29" s="2271"/>
      <c r="AB29" s="2271"/>
      <c r="AC29" s="333"/>
      <c r="AD29" s="2271" t="str">
        <f>IF(TITLE_NAME_OR_PR_CHANGE="",IF(TITLE_NAME_OR_PR="","",TITLE_NAME_OR_PR),TITLE_NAME_OR_PR_CHANGE)</f>
        <v/>
      </c>
      <c r="AE29" s="2271"/>
      <c r="AF29" s="2271"/>
      <c r="AG29" s="2271"/>
      <c r="AH29" s="2271"/>
      <c r="AI29" s="2271"/>
      <c r="AJ29" s="2271"/>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422</v>
      </c>
      <c r="T30" s="2270"/>
      <c r="U30" s="1379"/>
      <c r="V30" s="2284" t="str">
        <f>IF(TITLE_DATE_PR_CHANGE="",IF(TITLE_DATE_PR="","",TITLE_DATE_PR),TITLE_DATE_PR_CHANGE)</f>
        <v/>
      </c>
      <c r="W30" s="2284"/>
      <c r="X30" s="2284"/>
      <c r="Y30" s="2284"/>
      <c r="Z30" s="2284"/>
      <c r="AA30" s="2284"/>
      <c r="AB30" s="2284"/>
      <c r="AC30" s="333"/>
      <c r="AD30" s="2284" t="str">
        <f>IF(TITLE_DATE_PR_CHANGE="",IF(TITLE_DATE_PR="","",TITLE_DATE_PR),TITLE_DATE_PR_CHANGE)</f>
        <v/>
      </c>
      <c r="AE30" s="2284"/>
      <c r="AF30" s="2284"/>
      <c r="AG30" s="2284"/>
      <c r="AH30" s="2284"/>
      <c r="AI30" s="2284"/>
      <c r="AJ30" s="2284"/>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0" t="s">
        <v>423</v>
      </c>
      <c r="T31" s="2270"/>
      <c r="U31" s="1379"/>
      <c r="V31" s="2271" t="str">
        <f>IF(TITLE_NUMBER_PR_CHANGE="",IF(TITLE_NUMBER_PR="","",TITLE_NUMBER_PR),TITLE_NUMBER_PR_CHANGE)</f>
        <v/>
      </c>
      <c r="W31" s="2271"/>
      <c r="X31" s="2271"/>
      <c r="Y31" s="2271"/>
      <c r="Z31" s="2271"/>
      <c r="AA31" s="2271"/>
      <c r="AB31" s="2271"/>
      <c r="AC31" s="333"/>
      <c r="AD31" s="2271" t="str">
        <f>IF(TITLE_NUMBER_PR_CHANGE="",IF(TITLE_NUMBER_PR="","",TITLE_NUMBER_PR),TITLE_NUMBER_PR_CHANGE)</f>
        <v/>
      </c>
      <c r="AE31" s="2271"/>
      <c r="AF31" s="2271"/>
      <c r="AG31" s="2271"/>
      <c r="AH31" s="2271"/>
      <c r="AI31" s="2271"/>
      <c r="AJ31" s="2271"/>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0" t="s">
        <v>42</v>
      </c>
      <c r="T32" s="2270"/>
      <c r="U32" s="1379"/>
      <c r="V32" s="2271" t="str">
        <f>IF(TITLE_IST_PUB_CHANGE="",IF(TITLE_IST_PUB="","",TITLE_IST_PUB),TITLE_IST_PUB_CHANGE)</f>
        <v/>
      </c>
      <c r="W32" s="2271"/>
      <c r="X32" s="2271"/>
      <c r="Y32" s="2271"/>
      <c r="Z32" s="2271"/>
      <c r="AA32" s="2271"/>
      <c r="AB32" s="2271"/>
      <c r="AC32" s="333"/>
      <c r="AD32" s="2271" t="str">
        <f>IF(TITLE_IST_PUB_CHANGE="",IF(TITLE_IST_PUB="","",TITLE_IST_PUB),TITLE_IST_PUB_CHANGE)</f>
        <v/>
      </c>
      <c r="AE32" s="2271"/>
      <c r="AF32" s="2271"/>
      <c r="AG32" s="2271"/>
      <c r="AH32" s="2271"/>
      <c r="AI32" s="2271"/>
      <c r="AJ32" s="2271"/>
      <c r="AK32" s="333"/>
      <c r="AL32" s="333"/>
      <c r="AM32" s="287"/>
      <c r="AN32" s="375"/>
      <c r="AO32" s="375"/>
      <c r="AP32" s="375"/>
      <c r="AQ32" s="375"/>
      <c r="AR32" s="375"/>
      <c r="AS32" s="425">
        <v>0</v>
      </c>
    </row>
    <row customHeight="1" ht="14.25" hidden="1">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0" t="s">
        <v>424</v>
      </c>
      <c r="T34" s="2270"/>
      <c r="U34" s="1379"/>
      <c r="V34" s="2284" t="str">
        <f>IF(TITLE_DATE_PR_CHANGE="",IF(TITLE_DATE_PR="","",TITLE_DATE_PR),TITLE_DATE_PR_CHANGE)</f>
        <v/>
      </c>
      <c r="W34" s="2284"/>
      <c r="X34" s="2284"/>
      <c r="Y34" s="2284"/>
      <c r="Z34" s="2284"/>
      <c r="AA34" s="2284"/>
      <c r="AB34" s="2284"/>
      <c r="AC34" s="333"/>
      <c r="AD34" s="2284" t="str">
        <f>IF(TITLE_DATE_PR_CHANGE="",IF(TITLE_DATE_PR="","",TITLE_DATE_PR),TITLE_DATE_PR_CHANGE)</f>
        <v/>
      </c>
      <c r="AE34" s="2284"/>
      <c r="AF34" s="2284"/>
      <c r="AG34" s="2284"/>
      <c r="AH34" s="2284"/>
      <c r="AI34" s="2284"/>
      <c r="AJ34" s="2284"/>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0" t="s">
        <v>425</v>
      </c>
      <c r="T35" s="2270"/>
      <c r="U35" s="1379"/>
      <c r="V35" s="2271" t="str">
        <f>IF(TITLE_NUMBER_PR_CHANGE="",IF(TITLE_NUMBER_PR="","",TITLE_NUMBER_PR),TITLE_NUMBER_PR_CHANGE)</f>
        <v/>
      </c>
      <c r="W35" s="2271"/>
      <c r="X35" s="2271"/>
      <c r="Y35" s="2271"/>
      <c r="Z35" s="2271"/>
      <c r="AA35" s="2271"/>
      <c r="AB35" s="2271"/>
      <c r="AC35" s="333"/>
      <c r="AD35" s="2271" t="str">
        <f>IF(TITLE_NUMBER_PR_CHANGE="",IF(TITLE_NUMBER_PR="","",TITLE_NUMBER_PR),TITLE_NUMBER_PR_CHANGE)</f>
        <v/>
      </c>
      <c r="AE35" s="2271"/>
      <c r="AF35" s="2271"/>
      <c r="AG35" s="2271"/>
      <c r="AH35" s="2271"/>
      <c r="AI35" s="2271"/>
      <c r="AJ35" s="2271"/>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426</v>
      </c>
      <c r="AD36" s="333"/>
      <c r="AE36" s="333"/>
      <c r="AF36" s="333"/>
      <c r="AG36" s="333"/>
      <c r="AH36" s="333"/>
      <c r="AI36" s="333"/>
      <c r="AJ36" s="333"/>
      <c r="AK36" s="285" t="s">
        <v>426</v>
      </c>
      <c r="AN36" s="375"/>
      <c r="AO36" s="375"/>
      <c r="AP36" s="375"/>
      <c r="AQ36" s="375"/>
      <c r="AR36" s="375"/>
      <c r="AS36" s="425">
        <v>0</v>
      </c>
    </row>
    <row customHeight="1" ht="14.699999999999998">
      <c r="Q37" s="383"/>
      <c r="R37" s="383"/>
      <c r="S37" s="1282"/>
      <c r="T37" s="370"/>
      <c r="U37" s="1251"/>
      <c r="V37" s="2272"/>
      <c r="W37" s="2272"/>
      <c r="X37" s="2272"/>
      <c r="Y37" s="2272"/>
      <c r="Z37" s="2272"/>
      <c r="AA37" s="2272"/>
      <c r="AB37" s="2272"/>
      <c r="AC37" s="2272"/>
      <c r="AD37" s="2272"/>
      <c r="AE37" s="2272"/>
      <c r="AF37" s="2272"/>
      <c r="AG37" s="2272"/>
      <c r="AH37" s="2272"/>
      <c r="AI37" s="2272"/>
      <c r="AJ37" s="2272"/>
      <c r="AK37" s="2272"/>
      <c r="AS37" s="1162">
        <v>14</v>
      </c>
    </row>
    <row customHeight="1" ht="14.699999999999998">
      <c r="Q38" s="383"/>
      <c r="R38" s="383"/>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62">
        <v>14</v>
      </c>
    </row>
    <row customHeight="1" ht="14.699999999999998">
      <c r="Q39" s="383"/>
      <c r="R39" s="383"/>
      <c r="S39" s="2293" t="s">
        <v>87</v>
      </c>
      <c r="T39" s="2229" t="s">
        <v>427</v>
      </c>
      <c r="U39" s="308"/>
      <c r="V39" s="2294" t="s">
        <v>428</v>
      </c>
      <c r="W39" s="2295"/>
      <c r="X39" s="2295"/>
      <c r="Y39" s="2295"/>
      <c r="Z39" s="2295"/>
      <c r="AA39" s="2295"/>
      <c r="AB39" s="2296"/>
      <c r="AC39" s="2297" t="s">
        <v>429</v>
      </c>
      <c r="AD39" s="2294" t="s">
        <v>428</v>
      </c>
      <c r="AE39" s="2295"/>
      <c r="AF39" s="2295"/>
      <c r="AG39" s="2295"/>
      <c r="AH39" s="2295"/>
      <c r="AI39" s="2295"/>
      <c r="AJ39" s="2296"/>
      <c r="AK39" s="2297" t="s">
        <v>430</v>
      </c>
      <c r="AL39" s="2300" t="s">
        <v>431</v>
      </c>
      <c r="AM39" s="2147"/>
      <c r="AS39" s="1162">
        <v>14</v>
      </c>
    </row>
    <row customHeight="1" ht="35.699999999999996">
      <c r="Q40" s="383"/>
      <c r="R40" s="383"/>
      <c r="S40" s="2293"/>
      <c r="T40" s="2229"/>
      <c r="U40" s="1038"/>
      <c r="V40" s="2280" t="s">
        <v>432</v>
      </c>
      <c r="W40" s="2631" t="s">
        <v>433</v>
      </c>
      <c r="X40" s="2282" t="s">
        <v>434</v>
      </c>
      <c r="Y40" s="2283"/>
      <c r="Z40" s="2282" t="s">
        <v>435</v>
      </c>
      <c r="AA40" s="2289"/>
      <c r="AB40" s="2283"/>
      <c r="AC40" s="2298"/>
      <c r="AD40" s="2280" t="s">
        <v>432</v>
      </c>
      <c r="AE40" s="2303" t="s">
        <v>433</v>
      </c>
      <c r="AF40" s="2282" t="s">
        <v>434</v>
      </c>
      <c r="AG40" s="2283"/>
      <c r="AH40" s="2282" t="s">
        <v>435</v>
      </c>
      <c r="AI40" s="2289"/>
      <c r="AJ40" s="2283"/>
      <c r="AK40" s="2298"/>
      <c r="AL40" s="2301"/>
      <c r="AM40" s="2147"/>
      <c r="AS40" s="1162">
        <v>34</v>
      </c>
    </row>
    <row customHeight="1" ht="35.699999999999996">
      <c r="A41" s="1377"/>
      <c r="B41" s="1377" t="s">
        <v>136</v>
      </c>
      <c r="C41" s="1377" t="s">
        <v>137</v>
      </c>
      <c r="D41" s="1377" t="s">
        <v>138</v>
      </c>
      <c r="E41" s="1371" t="s">
        <v>436</v>
      </c>
      <c r="F41" s="1371" t="s">
        <v>437</v>
      </c>
      <c r="G41" s="1371" t="s">
        <v>438</v>
      </c>
      <c r="H41" s="1371" t="s">
        <v>439</v>
      </c>
      <c r="I41" s="1371" t="s">
        <v>440</v>
      </c>
      <c r="J41" s="1371" t="s">
        <v>441</v>
      </c>
      <c r="K41" s="1371" t="s">
        <v>442</v>
      </c>
      <c r="L41" s="1371" t="s">
        <v>417</v>
      </c>
      <c r="Q41" s="383"/>
      <c r="R41" s="383"/>
      <c r="S41" s="2293"/>
      <c r="T41" s="2229"/>
      <c r="U41" s="309"/>
      <c r="V41" s="2281"/>
      <c r="W41" s="2304"/>
      <c r="X41" s="1229" t="s">
        <v>443</v>
      </c>
      <c r="Y41" s="1229" t="s">
        <v>444</v>
      </c>
      <c r="Z41" s="1228" t="s">
        <v>445</v>
      </c>
      <c r="AA41" s="2290" t="s">
        <v>446</v>
      </c>
      <c r="AB41" s="2291"/>
      <c r="AC41" s="2299"/>
      <c r="AD41" s="2281"/>
      <c r="AE41" s="2304"/>
      <c r="AF41" s="1229" t="s">
        <v>443</v>
      </c>
      <c r="AG41" s="1229" t="s">
        <v>444</v>
      </c>
      <c r="AH41" s="1320" t="s">
        <v>445</v>
      </c>
      <c r="AI41" s="2290" t="s">
        <v>446</v>
      </c>
      <c r="AJ41" s="2291"/>
      <c r="AK41" s="2299"/>
      <c r="AL41" s="2302"/>
      <c r="AM41" s="2147"/>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263">
        <f>OFFSET(V42,0,-1)+1</f>
        <v>3</v>
      </c>
      <c r="W42" s="1263"/>
      <c r="X42" s="1263">
        <f>OFFSET(X42,0,-1)+1</f>
        <v>1</v>
      </c>
      <c r="Y42" s="1263">
        <f>OFFSET(Y42,0,-1)+1</f>
        <v>2</v>
      </c>
      <c r="Z42" s="1263">
        <f>OFFSET(Z42,0,-1)+1</f>
        <v>3</v>
      </c>
      <c r="AA42" s="2292">
        <f>OFFSET(AA42,0,-1)+1</f>
        <v>4</v>
      </c>
      <c r="AB42" s="2292"/>
      <c r="AC42" s="1263">
        <f>OFFSET(AC42,0,-2)+1</f>
        <v>5</v>
      </c>
      <c r="AD42" s="1319">
        <f>OFFSET(AD42,0,-1)+1</f>
        <v>6</v>
      </c>
      <c r="AE42" s="1319"/>
      <c r="AF42" s="1319">
        <f>OFFSET(AF42,0,-1)+1</f>
        <v>1</v>
      </c>
      <c r="AG42" s="1319">
        <f>OFFSET(AG42,0,-1)+1</f>
        <v>2</v>
      </c>
      <c r="AH42" s="1319">
        <f>OFFSET(AH42,0,-1)+1</f>
        <v>3</v>
      </c>
      <c r="AI42" s="2292">
        <f>OFFSET(AI42,0,-1)+1</f>
        <v>4</v>
      </c>
      <c r="AJ42" s="2292"/>
      <c r="AK42" s="1319">
        <f>OFFSET(AK42,0,-2)+1</f>
        <v>5</v>
      </c>
      <c r="AL42" s="1252">
        <f>OFFSET(AL42,0,-1)</f>
        <v>5</v>
      </c>
      <c r="AM42" s="1263">
        <f>OFFSET(AM42,0,-1)+1</f>
        <v>6</v>
      </c>
      <c r="AN42" s="518"/>
      <c r="AO42" s="518"/>
      <c r="AP42" s="518"/>
      <c r="AQ42" s="518"/>
      <c r="AR42" s="518"/>
      <c r="AS42" s="503">
        <v>0</v>
      </c>
    </row>
    <row customHeight="1" ht="24">
      <c r="A43" s="1370" t="s">
        <v>157</v>
      </c>
      <c r="B43" s="1370"/>
      <c r="C43" s="1370"/>
      <c r="D43" s="1370"/>
      <c r="E43" s="2278">
        <v>1</v>
      </c>
      <c r="F43" s="1370"/>
      <c r="G43" s="1370"/>
      <c r="H43" s="1370"/>
      <c r="I43" s="1370"/>
      <c r="J43" s="1370"/>
      <c r="K43" s="1370"/>
      <c r="L43" s="1371"/>
      <c r="M43" s="1372"/>
      <c r="N43" s="1372"/>
      <c r="O43" s="1372"/>
      <c r="P43" s="368"/>
      <c r="Q43" s="367"/>
      <c r="R43" s="362"/>
      <c r="S43" s="1231">
        <f>INDEX(PT_DIFFERENTIATION_NUM_NTAR,MATCH(A43,PT_DIFFERENTIATION_NTAR_ID,0))</f>
        <v>0</v>
      </c>
      <c r="T43" s="305" t="s">
        <v>124</v>
      </c>
      <c r="U43" s="307"/>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157</v>
      </c>
      <c r="B44" s="1370" t="s">
        <v>158</v>
      </c>
      <c r="C44" s="1370"/>
      <c r="D44" s="1370"/>
      <c r="E44" s="2279"/>
      <c r="F44" s="2278">
        <v>1</v>
      </c>
      <c r="G44" s="1370"/>
      <c r="H44" s="1370"/>
      <c r="I44" s="1370"/>
      <c r="J44" s="1370"/>
      <c r="K44" s="1370"/>
      <c r="L44" s="1371"/>
      <c r="M44" s="1372"/>
      <c r="N44" s="1372"/>
      <c r="O44" s="1372"/>
      <c r="P44" s="529"/>
      <c r="Q44" s="359"/>
      <c r="R44" s="360"/>
      <c r="S44" s="1231" t="str">
        <f>INDEX(PT_DIFFERENTIATION_NUM_TER,MATCH(B44,PT_DIFFERENTIATION_TER_ID,0))</f>
        <v>.</v>
      </c>
      <c r="T44" s="315" t="s">
        <v>396</v>
      </c>
      <c r="U44" s="307"/>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65" t="s">
        <v>397</v>
      </c>
      <c r="AO44" s="507"/>
      <c r="AP44" s="507" t="str">
        <f>IF(T44="","",T44)</f>
        <v>Территория действия тарифа</v>
      </c>
      <c r="AQ44" s="507"/>
      <c r="AR44" s="507"/>
      <c r="AS44" s="1162">
        <v>23</v>
      </c>
    </row>
    <row customHeight="1" ht="24">
      <c r="A45" s="1370" t="s">
        <v>157</v>
      </c>
      <c r="B45" s="1370" t="s">
        <v>158</v>
      </c>
      <c r="C45" s="1370" t="s">
        <v>159</v>
      </c>
      <c r="D45" s="1370"/>
      <c r="E45" s="2279"/>
      <c r="F45" s="2279"/>
      <c r="G45" s="2278">
        <v>1</v>
      </c>
      <c r="H45" s="1370"/>
      <c r="I45" s="1370"/>
      <c r="J45" s="1370"/>
      <c r="K45" s="1370"/>
      <c r="L45" s="1371"/>
      <c r="M45" s="1372"/>
      <c r="N45" s="1372"/>
      <c r="O45" s="1372"/>
      <c r="P45" s="361"/>
      <c r="Q45" s="359"/>
      <c r="R45" s="360"/>
      <c r="S45" s="1231" t="str">
        <f>INDEX(PT_DIFFERENTIATION_NUM_CS,MATCH(C45,PT_DIFFERENTIATION_CS_ID,0))</f>
        <v>..</v>
      </c>
      <c r="T45" s="316" t="s">
        <v>398</v>
      </c>
      <c r="U45" s="307"/>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65" t="s">
        <v>399</v>
      </c>
      <c r="AO45" s="507"/>
      <c r="AP45" s="507" t="str">
        <f>IF(T45="","",T45)</f>
        <v>Наименование системы теплоснабжения </v>
      </c>
      <c r="AQ45" s="507"/>
      <c r="AR45" s="507"/>
      <c r="AS45" s="1162">
        <v>23</v>
      </c>
    </row>
    <row customHeight="1" ht="24">
      <c r="A46" s="1370" t="s">
        <v>157</v>
      </c>
      <c r="B46" s="1370" t="s">
        <v>158</v>
      </c>
      <c r="C46" s="1370" t="s">
        <v>159</v>
      </c>
      <c r="D46" s="1370" t="s">
        <v>160</v>
      </c>
      <c r="E46" s="2279"/>
      <c r="F46" s="2279"/>
      <c r="G46" s="2279"/>
      <c r="H46" s="2278">
        <v>1</v>
      </c>
      <c r="I46" s="1370"/>
      <c r="J46" s="1370"/>
      <c r="K46" s="1370"/>
      <c r="L46" s="1371"/>
      <c r="M46" s="1372"/>
      <c r="N46" s="1372"/>
      <c r="O46" s="1372"/>
      <c r="P46" s="361"/>
      <c r="Q46" s="359"/>
      <c r="R46" s="360"/>
      <c r="S46" s="1231" t="str">
        <f>INDEX(PT_DIFFERENTIATION_NUM_IST_TE,MATCH(D46,PT_DIFFERENTIATION_IST_TE_ID,0))</f>
        <v>...</v>
      </c>
      <c r="T46" s="317" t="s">
        <v>400</v>
      </c>
      <c r="U46" s="307"/>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65" t="s">
        <v>401</v>
      </c>
      <c r="AO46" s="507"/>
      <c r="AP46" s="507" t="str">
        <f>IF(T46="","",T46)</f>
        <v>Источник тепловой энергии  </v>
      </c>
      <c r="AQ46" s="507"/>
      <c r="AR46" s="507"/>
      <c r="AS46" s="1162">
        <v>23</v>
      </c>
    </row>
    <row customHeight="1" ht="49.5">
      <c r="A47" s="1370" t="s">
        <v>157</v>
      </c>
      <c r="B47" s="1370" t="s">
        <v>158</v>
      </c>
      <c r="C47" s="1370" t="s">
        <v>159</v>
      </c>
      <c r="D47" s="1370" t="s">
        <v>160</v>
      </c>
      <c r="E47" s="2279"/>
      <c r="F47" s="2279"/>
      <c r="G47" s="2279"/>
      <c r="H47" s="2279"/>
      <c r="I47" s="2276" t="str">
        <f>S46&amp;".1"</f>
        <v>....1</v>
      </c>
      <c r="J47" s="1370"/>
      <c r="K47" s="1370"/>
      <c r="L47" s="1371" t="s">
        <v>402</v>
      </c>
      <c r="P47" s="2277">
        <v>1</v>
      </c>
      <c r="Q47" s="1227"/>
      <c r="R47" s="363"/>
      <c r="S47" s="1231" t="str">
        <f>$I47</f>
        <v>....1</v>
      </c>
      <c r="T47" s="292" t="s">
        <v>403</v>
      </c>
      <c r="U47" s="307"/>
      <c r="V47" s="2265"/>
      <c r="W47" s="2266"/>
      <c r="X47" s="2266"/>
      <c r="Y47" s="2266"/>
      <c r="Z47" s="2266"/>
      <c r="AA47" s="2266"/>
      <c r="AB47" s="2266"/>
      <c r="AC47" s="2267"/>
      <c r="AD47" s="2265"/>
      <c r="AE47" s="2266"/>
      <c r="AF47" s="2266"/>
      <c r="AG47" s="2266"/>
      <c r="AH47" s="2266"/>
      <c r="AI47" s="2266"/>
      <c r="AJ47" s="2266"/>
      <c r="AK47" s="2266"/>
      <c r="AL47" s="2267"/>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157</v>
      </c>
      <c r="B48" s="1370" t="s">
        <v>158</v>
      </c>
      <c r="C48" s="1370" t="s">
        <v>159</v>
      </c>
      <c r="D48" s="1370" t="s">
        <v>160</v>
      </c>
      <c r="E48" s="2279"/>
      <c r="F48" s="2279"/>
      <c r="G48" s="2279"/>
      <c r="H48" s="2279"/>
      <c r="I48" s="2306"/>
      <c r="J48" s="2276" t="str">
        <f>I47&amp;".1"</f>
        <v>....1.1</v>
      </c>
      <c r="K48" s="1370"/>
      <c r="L48" s="1371" t="s">
        <v>405</v>
      </c>
      <c r="P48" s="2277"/>
      <c r="Q48" s="2277">
        <v>1</v>
      </c>
      <c r="R48" s="364"/>
      <c r="S48" s="1231" t="str">
        <f>$J48</f>
        <v>....1.1</v>
      </c>
      <c r="T48" s="293" t="s">
        <v>406</v>
      </c>
      <c r="U48" s="307"/>
      <c r="V48" s="2265"/>
      <c r="W48" s="2266"/>
      <c r="X48" s="2266"/>
      <c r="Y48" s="2266"/>
      <c r="Z48" s="2266"/>
      <c r="AA48" s="2266"/>
      <c r="AB48" s="2266"/>
      <c r="AC48" s="2267"/>
      <c r="AD48" s="2265"/>
      <c r="AE48" s="2266"/>
      <c r="AF48" s="2266"/>
      <c r="AG48" s="2266"/>
      <c r="AH48" s="2266"/>
      <c r="AI48" s="2266"/>
      <c r="AJ48" s="2266"/>
      <c r="AK48" s="2266"/>
      <c r="AL48" s="2267"/>
      <c r="AM48" s="1265" t="s">
        <v>407</v>
      </c>
      <c r="AO48" s="507"/>
      <c r="AP48" s="507" t="str">
        <f>IF(T48="","",T48)</f>
        <v>Группа потребителей</v>
      </c>
      <c r="AQ48" s="507"/>
      <c r="AR48" s="507"/>
      <c r="AS48" s="1162">
        <v>23</v>
      </c>
    </row>
    <row customHeight="1" ht="24">
      <c r="A49" s="1370" t="s">
        <v>157</v>
      </c>
      <c r="B49" s="1370" t="s">
        <v>158</v>
      </c>
      <c r="C49" s="1370" t="s">
        <v>159</v>
      </c>
      <c r="D49" s="1370" t="s">
        <v>160</v>
      </c>
      <c r="E49" s="2279"/>
      <c r="F49" s="2279"/>
      <c r="G49" s="2279"/>
      <c r="H49" s="2279"/>
      <c r="I49" s="2306"/>
      <c r="J49" s="2306"/>
      <c r="K49" s="2276" t="str">
        <f>J48&amp;".1"</f>
        <v>....1.1.1</v>
      </c>
      <c r="L49" s="1371" t="s">
        <v>408</v>
      </c>
      <c r="P49" s="2277"/>
      <c r="Q49" s="2277"/>
      <c r="R49" s="364">
        <v>1</v>
      </c>
      <c r="S49" s="1231" t="str">
        <f>$K49</f>
        <v>....1.1.1</v>
      </c>
      <c r="T49" s="1354"/>
      <c r="U49" s="307"/>
      <c r="V49" s="758"/>
      <c r="W49" s="332"/>
      <c r="X49" s="758"/>
      <c r="Y49" s="1264"/>
      <c r="Z49" s="2285"/>
      <c r="AA49" s="2127" t="s">
        <v>61</v>
      </c>
      <c r="AB49" s="2285"/>
      <c r="AC49" s="2127" t="s">
        <v>61</v>
      </c>
      <c r="AD49" s="758"/>
      <c r="AE49" s="332"/>
      <c r="AF49" s="758"/>
      <c r="AG49" s="1264"/>
      <c r="AH49" s="2285"/>
      <c r="AI49" s="2127" t="s">
        <v>61</v>
      </c>
      <c r="AJ49" s="2307"/>
      <c r="AK49" s="2127" t="s">
        <v>61</v>
      </c>
      <c r="AL49" s="1355"/>
      <c r="AM49" s="2273" t="s">
        <v>409</v>
      </c>
      <c r="AN49" s="518">
        <f>STRCHECKDATE(V50:AL50)</f>
      </c>
      <c r="AO49" s="507"/>
      <c r="AP49" s="507" t="str">
        <f>IF(T49="","",T49)</f>
        <v/>
      </c>
      <c r="AQ49" s="507"/>
      <c r="AR49" s="507"/>
      <c r="AS49" s="1162">
        <v>23</v>
      </c>
    </row>
    <row customHeight="1" ht="1.05">
      <c r="A50" s="1370" t="s">
        <v>157</v>
      </c>
      <c r="B50" s="1370" t="s">
        <v>158</v>
      </c>
      <c r="C50" s="1370" t="s">
        <v>159</v>
      </c>
      <c r="D50" s="1370" t="s">
        <v>160</v>
      </c>
      <c r="E50" s="2279"/>
      <c r="F50" s="2279"/>
      <c r="G50" s="2279"/>
      <c r="H50" s="2279"/>
      <c r="I50" s="2306"/>
      <c r="J50" s="2306"/>
      <c r="K50" s="2276"/>
      <c r="L50" s="1371"/>
      <c r="P50" s="2277"/>
      <c r="Q50" s="2277"/>
      <c r="R50" s="364"/>
      <c r="S50" s="1230"/>
      <c r="T50" s="307"/>
      <c r="U50" s="307"/>
      <c r="V50" s="332"/>
      <c r="W50" s="332"/>
      <c r="X50" s="332"/>
      <c r="Y50" s="335" t="str">
        <f>Z49&amp;"-"&amp;AB49</f>
        <v>-</v>
      </c>
      <c r="Z50" s="2286"/>
      <c r="AA50" s="2127"/>
      <c r="AB50" s="2286"/>
      <c r="AC50" s="2127"/>
      <c r="AD50" s="332"/>
      <c r="AE50" s="332"/>
      <c r="AF50" s="332"/>
      <c r="AG50" s="335" t="str">
        <f>AH49&amp;"-"&amp;AJ49</f>
        <v>-</v>
      </c>
      <c r="AH50" s="2286"/>
      <c r="AI50" s="2127"/>
      <c r="AJ50" s="2308"/>
      <c r="AK50" s="2127"/>
      <c r="AL50" s="1356"/>
      <c r="AM50" s="2274"/>
      <c r="AO50" s="507"/>
      <c r="AP50" s="507" t="str">
        <f>IF(T50="","",T50)</f>
        <v/>
      </c>
      <c r="AQ50" s="507"/>
      <c r="AR50" s="507"/>
      <c r="AS50" s="1162">
        <v>1</v>
      </c>
    </row>
    <row customHeight="1" ht="11.549999999999999">
      <c r="A51" s="1370" t="s">
        <v>157</v>
      </c>
      <c r="B51" s="1370" t="s">
        <v>158</v>
      </c>
      <c r="C51" s="1370" t="s">
        <v>159</v>
      </c>
      <c r="D51" s="1370" t="s">
        <v>160</v>
      </c>
      <c r="E51" s="2279"/>
      <c r="F51" s="2279"/>
      <c r="G51" s="2279"/>
      <c r="H51" s="2279"/>
      <c r="I51" s="2306"/>
      <c r="J51" s="2276"/>
      <c r="K51" s="1370"/>
      <c r="L51" s="1371"/>
      <c r="P51" s="2277"/>
      <c r="Q51" s="2277"/>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75"/>
      <c r="AO51" s="507"/>
      <c r="AP51" s="507" t="str">
        <f>IF(T51="","",T51)</f>
        <v>Добавить вид теплоносителя (параметры теплоносителя)</v>
      </c>
      <c r="AQ51" s="507"/>
      <c r="AR51" s="507"/>
      <c r="AS51" s="1162">
        <v>11</v>
      </c>
    </row>
    <row customHeight="1" ht="11.549999999999999">
      <c r="A52" s="1370" t="s">
        <v>157</v>
      </c>
      <c r="B52" s="1370" t="s">
        <v>158</v>
      </c>
      <c r="C52" s="1370" t="s">
        <v>159</v>
      </c>
      <c r="D52" s="1370" t="s">
        <v>160</v>
      </c>
      <c r="E52" s="2279"/>
      <c r="F52" s="2279"/>
      <c r="G52" s="2279"/>
      <c r="H52" s="2279"/>
      <c r="I52" s="2276"/>
      <c r="J52" s="1370"/>
      <c r="K52" s="1370"/>
      <c r="L52" s="1371"/>
      <c r="P52" s="2277"/>
      <c r="Q52" s="1227"/>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157</v>
      </c>
      <c r="B53" s="1370" t="s">
        <v>158</v>
      </c>
      <c r="C53" s="1370" t="s">
        <v>159</v>
      </c>
      <c r="D53" s="1370" t="s">
        <v>160</v>
      </c>
      <c r="E53" s="2279"/>
      <c r="F53" s="2279"/>
      <c r="G53" s="2279"/>
      <c r="H53" s="2278"/>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157</v>
      </c>
      <c r="B54" s="1350" t="s">
        <v>158</v>
      </c>
      <c r="C54" s="1350" t="s">
        <v>159</v>
      </c>
      <c r="D54" s="1321"/>
      <c r="E54" s="2279"/>
      <c r="F54" s="2279"/>
      <c r="G54" s="2278"/>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157</v>
      </c>
      <c r="B55" s="1350" t="s">
        <v>158</v>
      </c>
      <c r="C55" s="1321"/>
      <c r="D55" s="1321"/>
      <c r="E55" s="2279"/>
      <c r="F55" s="2278"/>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157</v>
      </c>
      <c r="B56" s="1350"/>
      <c r="C56" s="1350"/>
      <c r="D56" s="1350"/>
      <c r="E56" s="2278"/>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62">
        <v>27</v>
      </c>
    </row>
    <row customHeight="1" ht="67.2">
      <c r="O60" s="544"/>
      <c r="P60" s="1310"/>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62">
        <v>64</v>
      </c>
    </row>
    <row customHeight="1" ht="14.699999999999998">
      <c r="O61" s="544"/>
      <c r="AS61" s="1162">
        <v>14</v>
      </c>
    </row>
    <row customHeight="1" ht="18.75">
      <c r="O62" s="544"/>
      <c r="P62" s="1335"/>
      <c r="S62" s="1260"/>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62">
        <v>18</v>
      </c>
    </row>
    <row customHeight="1" ht="18.75">
      <c r="O63" s="544"/>
      <c r="P63" s="1335"/>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62">
        <v>18</v>
      </c>
    </row>
    <row customHeight="1" ht="29.25">
      <c r="O64" s="544"/>
      <c r="P64" s="1335"/>
      <c r="S64" s="1260"/>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EF5E4-1E05-8C51-0477-0.BECB7D8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78">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65" t="s">
        <v>395</v>
      </c>
      <c r="AO2" s="507"/>
      <c r="AP2" s="507" t="str">
        <f>IF(T2="","",T2)</f>
        <v>Наименование тарифа</v>
      </c>
      <c r="AQ2" s="507"/>
      <c r="AR2" s="507"/>
      <c r="AS2" s="1162">
        <v>0</v>
      </c>
    </row>
    <row customHeight="1" ht="21" hidden="1">
      <c r="A3" s="1370"/>
      <c r="B3" s="1370"/>
      <c r="C3" s="1370"/>
      <c r="D3" s="1370"/>
      <c r="E3" s="2279"/>
      <c r="F3" s="2278">
        <v>1</v>
      </c>
      <c r="G3" s="1370"/>
      <c r="H3" s="1370"/>
      <c r="I3" s="1370"/>
      <c r="J3" s="1370"/>
      <c r="K3" s="1370"/>
      <c r="L3" s="1371"/>
      <c r="M3" s="1372"/>
      <c r="N3" s="1372"/>
      <c r="O3" s="1372"/>
      <c r="P3" s="1339"/>
      <c r="Q3" s="359"/>
      <c r="R3" s="360"/>
      <c r="S3" s="1343">
        <f>INDEX(PT_DIFFERENTIATION_NUM_TER,MATCH(B3,PT_DIFFERENTIATION_TER_ID,0))</f>
      </c>
      <c r="T3" s="315" t="s">
        <v>396</v>
      </c>
      <c r="U3" s="307"/>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65" t="s">
        <v>397</v>
      </c>
      <c r="AO3" s="507"/>
      <c r="AP3" s="507" t="str">
        <f>IF(T3="","",T3)</f>
        <v>Территория действия тарифа</v>
      </c>
      <c r="AQ3" s="507"/>
      <c r="AR3" s="507"/>
      <c r="AS3" s="1162">
        <v>0</v>
      </c>
    </row>
    <row customHeight="1" ht="23.25" hidden="1">
      <c r="A4" s="1370"/>
      <c r="B4" s="1370"/>
      <c r="C4" s="1370"/>
      <c r="D4" s="1370"/>
      <c r="E4" s="2279"/>
      <c r="F4" s="2279"/>
      <c r="G4" s="2278">
        <v>1</v>
      </c>
      <c r="H4" s="1370"/>
      <c r="I4" s="1370"/>
      <c r="J4" s="1370"/>
      <c r="K4" s="1370"/>
      <c r="L4" s="1371"/>
      <c r="M4" s="1372"/>
      <c r="N4" s="1372"/>
      <c r="O4" s="1372"/>
      <c r="P4" s="361"/>
      <c r="Q4" s="359"/>
      <c r="R4" s="360"/>
      <c r="S4" s="1343">
        <f>INDEX(PT_DIFFERENTIATION_NUM_CS,MATCH(C4,PT_DIFFERENTIATION_CS_ID,0))</f>
      </c>
      <c r="T4" s="316" t="s">
        <v>398</v>
      </c>
      <c r="U4" s="307"/>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65" t="s">
        <v>399</v>
      </c>
      <c r="AO4" s="507"/>
      <c r="AP4" s="507" t="str">
        <f>IF(T4="","",T4)</f>
        <v>Наименование системы теплоснабжения </v>
      </c>
      <c r="AQ4" s="507"/>
      <c r="AR4" s="507"/>
      <c r="AS4" s="1162">
        <v>0</v>
      </c>
    </row>
    <row customHeight="1" ht="21" hidden="1">
      <c r="A5" s="1370"/>
      <c r="B5" s="1370"/>
      <c r="C5" s="1370"/>
      <c r="D5" s="1370"/>
      <c r="E5" s="2279"/>
      <c r="F5" s="2279"/>
      <c r="G5" s="2279"/>
      <c r="H5" s="2278">
        <v>1</v>
      </c>
      <c r="I5" s="1370"/>
      <c r="J5" s="1370"/>
      <c r="K5" s="1370"/>
      <c r="L5" s="1371"/>
      <c r="M5" s="1372"/>
      <c r="N5" s="1372"/>
      <c r="O5" s="1372"/>
      <c r="P5" s="361"/>
      <c r="Q5" s="359"/>
      <c r="R5" s="360"/>
      <c r="S5" s="1343">
        <f>INDEX(PT_DIFFERENTIATION_NUM_IST_TE,MATCH(D5,PT_DIFFERENTIATION_IST_TE_ID,0))</f>
      </c>
      <c r="T5" s="317" t="s">
        <v>400</v>
      </c>
      <c r="U5" s="307"/>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65" t="s">
        <v>401</v>
      </c>
      <c r="AO5" s="507"/>
      <c r="AP5" s="507" t="str">
        <f>IF(T5="","",T5)</f>
        <v>Источник тепловой энергии  </v>
      </c>
      <c r="AQ5" s="507"/>
      <c r="AR5" s="507"/>
      <c r="AS5" s="1162">
        <v>0</v>
      </c>
    </row>
    <row customHeight="1" ht="47.25" hidden="1">
      <c r="A6" s="1370"/>
      <c r="B6" s="1370"/>
      <c r="C6" s="1370"/>
      <c r="D6" s="1370"/>
      <c r="E6" s="2279"/>
      <c r="F6" s="2279"/>
      <c r="G6" s="2279"/>
      <c r="H6" s="2279"/>
      <c r="I6" s="2276">
        <f>S5&amp;".1"</f>
      </c>
      <c r="J6" s="1370"/>
      <c r="K6" s="1370"/>
      <c r="L6" s="1371" t="s">
        <v>402</v>
      </c>
      <c r="M6" s="544"/>
      <c r="P6" s="2277">
        <v>1</v>
      </c>
      <c r="Q6" s="1338"/>
      <c r="R6" s="363"/>
      <c r="S6" s="1343">
        <f>$I6</f>
      </c>
      <c r="T6" s="292" t="s">
        <v>403</v>
      </c>
      <c r="U6" s="307"/>
      <c r="V6" s="2265"/>
      <c r="W6" s="2266"/>
      <c r="X6" s="2266"/>
      <c r="Y6" s="2266"/>
      <c r="Z6" s="2266"/>
      <c r="AA6" s="2266"/>
      <c r="AB6" s="2266"/>
      <c r="AC6" s="2267"/>
      <c r="AD6" s="2265"/>
      <c r="AE6" s="2266"/>
      <c r="AF6" s="2266"/>
      <c r="AG6" s="2266"/>
      <c r="AH6" s="2266"/>
      <c r="AI6" s="2266"/>
      <c r="AJ6" s="2266"/>
      <c r="AK6" s="2266"/>
      <c r="AL6" s="2267"/>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79"/>
      <c r="F7" s="2279"/>
      <c r="G7" s="2279"/>
      <c r="H7" s="2279"/>
      <c r="I7" s="2306"/>
      <c r="J7" s="2276">
        <f>I6&amp;".1"</f>
      </c>
      <c r="K7" s="1370"/>
      <c r="L7" s="1371" t="s">
        <v>405</v>
      </c>
      <c r="M7" s="544"/>
      <c r="N7" s="1373"/>
      <c r="P7" s="2277"/>
      <c r="Q7" s="2277">
        <v>1</v>
      </c>
      <c r="R7" s="364"/>
      <c r="S7" s="1343">
        <f>$J7</f>
      </c>
      <c r="T7" s="293" t="s">
        <v>406</v>
      </c>
      <c r="U7" s="307"/>
      <c r="V7" s="2265"/>
      <c r="W7" s="2266"/>
      <c r="X7" s="2266"/>
      <c r="Y7" s="2266"/>
      <c r="Z7" s="2266"/>
      <c r="AA7" s="2266"/>
      <c r="AB7" s="2266"/>
      <c r="AC7" s="2267"/>
      <c r="AD7" s="2265"/>
      <c r="AE7" s="2266"/>
      <c r="AF7" s="2266"/>
      <c r="AG7" s="2266"/>
      <c r="AH7" s="2266"/>
      <c r="AI7" s="2266"/>
      <c r="AJ7" s="2266"/>
      <c r="AK7" s="2266"/>
      <c r="AL7" s="2267"/>
      <c r="AM7" s="1265" t="s">
        <v>407</v>
      </c>
      <c r="AO7" s="507"/>
      <c r="AP7" s="507" t="str">
        <f>IF(T7="","",T7)</f>
        <v>Группа потребителей</v>
      </c>
      <c r="AQ7" s="507"/>
      <c r="AR7" s="507"/>
      <c r="AS7" s="1162">
        <v>0</v>
      </c>
    </row>
    <row customHeight="1" ht="21" hidden="1">
      <c r="A8" s="1370"/>
      <c r="B8" s="1370"/>
      <c r="C8" s="1370"/>
      <c r="D8" s="1370"/>
      <c r="E8" s="2279"/>
      <c r="F8" s="2279"/>
      <c r="G8" s="2279"/>
      <c r="H8" s="2279"/>
      <c r="I8" s="2306"/>
      <c r="J8" s="2306"/>
      <c r="K8" s="2276">
        <f>J7&amp;".1"</f>
      </c>
      <c r="L8" s="1371" t="s">
        <v>408</v>
      </c>
      <c r="M8" s="544"/>
      <c r="N8" s="1373"/>
      <c r="O8" s="1373"/>
      <c r="P8" s="2277"/>
      <c r="Q8" s="2277"/>
      <c r="R8" s="364">
        <v>1</v>
      </c>
      <c r="S8" s="1343">
        <f>$K8</f>
      </c>
      <c r="T8" s="1354"/>
      <c r="U8" s="307"/>
      <c r="V8" s="758"/>
      <c r="W8" s="332"/>
      <c r="X8" s="758"/>
      <c r="Y8" s="1264"/>
      <c r="Z8" s="2285"/>
      <c r="AA8" s="2127" t="s">
        <v>61</v>
      </c>
      <c r="AB8" s="2285"/>
      <c r="AC8" s="2127" t="s">
        <v>61</v>
      </c>
      <c r="AD8" s="758"/>
      <c r="AE8" s="332"/>
      <c r="AF8" s="758"/>
      <c r="AG8" s="1264"/>
      <c r="AH8" s="2285"/>
      <c r="AI8" s="2127" t="s">
        <v>61</v>
      </c>
      <c r="AJ8" s="2285"/>
      <c r="AK8" s="2127" t="s">
        <v>61</v>
      </c>
      <c r="AL8" s="332"/>
      <c r="AM8" s="2273" t="s">
        <v>409</v>
      </c>
      <c r="AN8" s="518">
        <f>STRCHECKDATE(V9:AL9)</f>
      </c>
      <c r="AO8" s="507"/>
      <c r="AP8" s="507" t="str">
        <f>IF(T8="","",T8)</f>
        <v/>
      </c>
      <c r="AQ8" s="507"/>
      <c r="AR8" s="507"/>
      <c r="AS8" s="1162">
        <v>0</v>
      </c>
    </row>
    <row customHeight="1" ht="0.75" hidden="1">
      <c r="A9" s="1370"/>
      <c r="B9" s="1370"/>
      <c r="C9" s="1370"/>
      <c r="D9" s="1370"/>
      <c r="E9" s="2279"/>
      <c r="F9" s="2279"/>
      <c r="G9" s="2279"/>
      <c r="H9" s="2279"/>
      <c r="I9" s="2306"/>
      <c r="J9" s="2306"/>
      <c r="K9" s="2276"/>
      <c r="L9" s="1371"/>
      <c r="M9" s="544"/>
      <c r="N9" s="1373"/>
      <c r="O9" s="1373"/>
      <c r="P9" s="2277"/>
      <c r="Q9" s="2277"/>
      <c r="R9" s="364"/>
      <c r="S9" s="1349"/>
      <c r="T9" s="307"/>
      <c r="U9" s="307"/>
      <c r="V9" s="332"/>
      <c r="W9" s="332"/>
      <c r="X9" s="332"/>
      <c r="Y9" s="335" t="str">
        <f>Z8&amp;"-"&amp;AB8</f>
        <v>-</v>
      </c>
      <c r="Z9" s="2286"/>
      <c r="AA9" s="2127"/>
      <c r="AB9" s="2286"/>
      <c r="AC9" s="2127"/>
      <c r="AD9" s="332"/>
      <c r="AE9" s="332"/>
      <c r="AF9" s="332"/>
      <c r="AG9" s="335" t="str">
        <f>AH8&amp;"-"&amp;AJ8</f>
        <v>-</v>
      </c>
      <c r="AH9" s="2286"/>
      <c r="AI9" s="2127"/>
      <c r="AJ9" s="2286"/>
      <c r="AK9" s="2127"/>
      <c r="AL9" s="332"/>
      <c r="AM9" s="2274"/>
      <c r="AO9" s="507"/>
      <c r="AP9" s="507" t="str">
        <f>IF(T9="","",T9)</f>
        <v/>
      </c>
      <c r="AQ9" s="507"/>
      <c r="AR9" s="507"/>
      <c r="AS9" s="1162">
        <v>0</v>
      </c>
    </row>
    <row customHeight="1" ht="15" hidden="1">
      <c r="A10" s="1370"/>
      <c r="B10" s="1370"/>
      <c r="C10" s="1370"/>
      <c r="D10" s="1370"/>
      <c r="E10" s="2279"/>
      <c r="F10" s="2279"/>
      <c r="G10" s="2279"/>
      <c r="H10" s="2279"/>
      <c r="I10" s="2306"/>
      <c r="J10" s="2276"/>
      <c r="K10" s="1370"/>
      <c r="L10" s="1371"/>
      <c r="M10" s="544"/>
      <c r="N10" s="1373"/>
      <c r="P10" s="2277"/>
      <c r="Q10" s="2277"/>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75"/>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79"/>
      <c r="F11" s="2279"/>
      <c r="G11" s="2279"/>
      <c r="H11" s="2279"/>
      <c r="I11" s="2276"/>
      <c r="J11" s="1370"/>
      <c r="K11" s="1370"/>
      <c r="L11" s="1371"/>
      <c r="M11" s="544"/>
      <c r="P11" s="2277"/>
      <c r="Q11" s="1338"/>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79"/>
      <c r="F12" s="2279"/>
      <c r="G12" s="2279"/>
      <c r="H12" s="2278"/>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79"/>
      <c r="F13" s="2279"/>
      <c r="G13" s="2278"/>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79"/>
      <c r="F14" s="2278"/>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78"/>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87"/>
      <c r="AI17" s="2288" t="s">
        <v>61</v>
      </c>
      <c r="AJ17" s="2287"/>
      <c r="AK17" s="2288" t="s">
        <v>61</v>
      </c>
      <c r="AS17" s="1162">
        <v>0</v>
      </c>
    </row>
    <row customHeight="1" ht="14.25" hidden="1">
      <c r="AD18" s="1367"/>
      <c r="AE18" s="1367"/>
      <c r="AF18" s="1367"/>
      <c r="AG18" s="335" t="str">
        <f>AH17&amp;"-"&amp;AJ17</f>
        <v>-</v>
      </c>
      <c r="AH18" s="2288"/>
      <c r="AI18" s="2288"/>
      <c r="AJ18" s="2288"/>
      <c r="AK18" s="2288"/>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50"/>
      <c r="AS26" s="1162">
        <v>14</v>
      </c>
    </row>
    <row customHeight="1" ht="14.699999999999998">
      <c r="Q27" s="383"/>
      <c r="R27" s="383"/>
      <c r="S27" s="2269" t="str">
        <f>IF(org=0,"Не определено",org)</f>
        <v>ИМУП «ПОСЖИЛКОМСЕРВИС»</v>
      </c>
      <c r="T27" s="2269"/>
      <c r="U27" s="2269"/>
      <c r="V27" s="2269"/>
      <c r="W27" s="2269"/>
      <c r="X27" s="2269"/>
      <c r="Y27" s="2269"/>
      <c r="Z27" s="2269"/>
      <c r="AA27" s="2269"/>
      <c r="AB27" s="2269"/>
      <c r="AC27" s="2269"/>
      <c r="AD27" s="2269"/>
      <c r="AE27" s="2269"/>
      <c r="AF27" s="2269"/>
      <c r="AG27" s="2269"/>
      <c r="AH27" s="2269"/>
      <c r="AI27" s="2269"/>
      <c r="AJ27" s="2269"/>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0" t="s">
        <v>41</v>
      </c>
      <c r="T29" s="2270"/>
      <c r="U29" s="1379"/>
      <c r="V29" s="2271" t="str">
        <f>IF(TITLE_NAME_OR_PR_CHANGE="",IF(TITLE_NAME_OR_PR="","",TITLE_NAME_OR_PR),TITLE_NAME_OR_PR_CHANGE)</f>
        <v/>
      </c>
      <c r="W29" s="2271"/>
      <c r="X29" s="2271"/>
      <c r="Y29" s="2271"/>
      <c r="Z29" s="2271"/>
      <c r="AA29" s="2271"/>
      <c r="AB29" s="2271"/>
      <c r="AC29" s="333"/>
      <c r="AD29" s="2271" t="str">
        <f>IF(TITLE_NAME_OR_PR_CHANGE="",IF(TITLE_NAME_OR_PR="","",TITLE_NAME_OR_PR),TITLE_NAME_OR_PR_CHANGE)</f>
        <v/>
      </c>
      <c r="AE29" s="2271"/>
      <c r="AF29" s="2271"/>
      <c r="AG29" s="2271"/>
      <c r="AH29" s="2271"/>
      <c r="AI29" s="2271"/>
      <c r="AJ29" s="2271"/>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422</v>
      </c>
      <c r="T30" s="2270"/>
      <c r="U30" s="1379"/>
      <c r="V30" s="2284" t="str">
        <f>IF(TITLE_DATE_PR_CHANGE="",IF(TITLE_DATE_PR="","",TITLE_DATE_PR),TITLE_DATE_PR_CHANGE)</f>
        <v/>
      </c>
      <c r="W30" s="2284"/>
      <c r="X30" s="2284"/>
      <c r="Y30" s="2284"/>
      <c r="Z30" s="2284"/>
      <c r="AA30" s="2284"/>
      <c r="AB30" s="2284"/>
      <c r="AC30" s="333"/>
      <c r="AD30" s="2284" t="str">
        <f>IF(TITLE_DATE_PR_CHANGE="",IF(TITLE_DATE_PR="","",TITLE_DATE_PR),TITLE_DATE_PR_CHANGE)</f>
        <v/>
      </c>
      <c r="AE30" s="2284"/>
      <c r="AF30" s="2284"/>
      <c r="AG30" s="2284"/>
      <c r="AH30" s="2284"/>
      <c r="AI30" s="2284"/>
      <c r="AJ30" s="2284"/>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0" t="s">
        <v>423</v>
      </c>
      <c r="T31" s="2270"/>
      <c r="U31" s="1379"/>
      <c r="V31" s="2271" t="str">
        <f>IF(TITLE_NUMBER_PR_CHANGE="",IF(TITLE_NUMBER_PR="","",TITLE_NUMBER_PR),TITLE_NUMBER_PR_CHANGE)</f>
        <v/>
      </c>
      <c r="W31" s="2271"/>
      <c r="X31" s="2271"/>
      <c r="Y31" s="2271"/>
      <c r="Z31" s="2271"/>
      <c r="AA31" s="2271"/>
      <c r="AB31" s="2271"/>
      <c r="AC31" s="333"/>
      <c r="AD31" s="2271" t="str">
        <f>IF(TITLE_NUMBER_PR_CHANGE="",IF(TITLE_NUMBER_PR="","",TITLE_NUMBER_PR),TITLE_NUMBER_PR_CHANGE)</f>
        <v/>
      </c>
      <c r="AE31" s="2271"/>
      <c r="AF31" s="2271"/>
      <c r="AG31" s="2271"/>
      <c r="AH31" s="2271"/>
      <c r="AI31" s="2271"/>
      <c r="AJ31" s="2271"/>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0" t="s">
        <v>42</v>
      </c>
      <c r="T32" s="2270"/>
      <c r="U32" s="1379"/>
      <c r="V32" s="2271" t="str">
        <f>IF(TITLE_IST_PUB_CHANGE="",IF(TITLE_IST_PUB="","",TITLE_IST_PUB),TITLE_IST_PUB_CHANGE)</f>
        <v/>
      </c>
      <c r="W32" s="2271"/>
      <c r="X32" s="2271"/>
      <c r="Y32" s="2271"/>
      <c r="Z32" s="2271"/>
      <c r="AA32" s="2271"/>
      <c r="AB32" s="2271"/>
      <c r="AC32" s="333"/>
      <c r="AD32" s="2271" t="str">
        <f>IF(TITLE_IST_PUB_CHANGE="",IF(TITLE_IST_PUB="","",TITLE_IST_PUB),TITLE_IST_PUB_CHANGE)</f>
        <v/>
      </c>
      <c r="AE32" s="2271"/>
      <c r="AF32" s="2271"/>
      <c r="AG32" s="2271"/>
      <c r="AH32" s="2271"/>
      <c r="AI32" s="2271"/>
      <c r="AJ32" s="2271"/>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0" t="s">
        <v>424</v>
      </c>
      <c r="T34" s="2270"/>
      <c r="U34" s="1379"/>
      <c r="V34" s="2284" t="str">
        <f>IF(TITLE_DATE_PR_CHANGE="",IF(TITLE_DATE_PR="","",TITLE_DATE_PR),TITLE_DATE_PR_CHANGE)</f>
        <v/>
      </c>
      <c r="W34" s="2284"/>
      <c r="X34" s="2284"/>
      <c r="Y34" s="2284"/>
      <c r="Z34" s="2284"/>
      <c r="AA34" s="2284"/>
      <c r="AB34" s="2284"/>
      <c r="AC34" s="333"/>
      <c r="AD34" s="2284" t="str">
        <f>IF(TITLE_DATE_PR_CHANGE="",IF(TITLE_DATE_PR="","",TITLE_DATE_PR),TITLE_DATE_PR_CHANGE)</f>
        <v/>
      </c>
      <c r="AE34" s="2284"/>
      <c r="AF34" s="2284"/>
      <c r="AG34" s="2284"/>
      <c r="AH34" s="2284"/>
      <c r="AI34" s="2284"/>
      <c r="AJ34" s="2284"/>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0" t="s">
        <v>425</v>
      </c>
      <c r="T35" s="2270"/>
      <c r="U35" s="1379"/>
      <c r="V35" s="2271" t="str">
        <f>IF(TITLE_NUMBER_PR_CHANGE="",IF(TITLE_NUMBER_PR="","",TITLE_NUMBER_PR),TITLE_NUMBER_PR_CHANGE)</f>
        <v/>
      </c>
      <c r="W35" s="2271"/>
      <c r="X35" s="2271"/>
      <c r="Y35" s="2271"/>
      <c r="Z35" s="2271"/>
      <c r="AA35" s="2271"/>
      <c r="AB35" s="2271"/>
      <c r="AC35" s="333"/>
      <c r="AD35" s="2271" t="str">
        <f>IF(TITLE_NUMBER_PR_CHANGE="",IF(TITLE_NUMBER_PR="","",TITLE_NUMBER_PR),TITLE_NUMBER_PR_CHANGE)</f>
        <v/>
      </c>
      <c r="AE35" s="2271"/>
      <c r="AF35" s="2271"/>
      <c r="AG35" s="2271"/>
      <c r="AH35" s="2271"/>
      <c r="AI35" s="2271"/>
      <c r="AJ35" s="2271"/>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426</v>
      </c>
      <c r="AD36" s="333"/>
      <c r="AE36" s="333"/>
      <c r="AF36" s="333"/>
      <c r="AG36" s="333"/>
      <c r="AH36" s="333"/>
      <c r="AI36" s="333"/>
      <c r="AJ36" s="333"/>
      <c r="AK36" s="285" t="s">
        <v>426</v>
      </c>
      <c r="AN36" s="375"/>
      <c r="AO36" s="375"/>
      <c r="AP36" s="375"/>
      <c r="AQ36" s="375"/>
      <c r="AR36" s="375"/>
      <c r="AS36" s="425">
        <v>0</v>
      </c>
    </row>
    <row customHeight="1" ht="14.699999999999998">
      <c r="Q37" s="383"/>
      <c r="R37" s="383"/>
      <c r="S37" s="1282"/>
      <c r="T37" s="370"/>
      <c r="U37" s="1251"/>
      <c r="V37" s="2272"/>
      <c r="W37" s="2272"/>
      <c r="X37" s="2272"/>
      <c r="Y37" s="2272"/>
      <c r="Z37" s="2272"/>
      <c r="AA37" s="2272"/>
      <c r="AB37" s="2272"/>
      <c r="AC37" s="2272"/>
      <c r="AD37" s="2272"/>
      <c r="AE37" s="2272"/>
      <c r="AF37" s="2272"/>
      <c r="AG37" s="2272"/>
      <c r="AH37" s="2272"/>
      <c r="AI37" s="2272"/>
      <c r="AJ37" s="2272"/>
      <c r="AK37" s="2272"/>
      <c r="AS37" s="1162">
        <v>14</v>
      </c>
    </row>
    <row customHeight="1" ht="14.699999999999998">
      <c r="Q38" s="383"/>
      <c r="R38" s="383"/>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62">
        <v>14</v>
      </c>
    </row>
    <row customHeight="1" ht="14.699999999999998">
      <c r="Q39" s="383"/>
      <c r="R39" s="383"/>
      <c r="S39" s="2293" t="s">
        <v>87</v>
      </c>
      <c r="T39" s="2229" t="s">
        <v>427</v>
      </c>
      <c r="U39" s="308"/>
      <c r="V39" s="2294" t="s">
        <v>428</v>
      </c>
      <c r="W39" s="2295"/>
      <c r="X39" s="2295"/>
      <c r="Y39" s="2295"/>
      <c r="Z39" s="2295"/>
      <c r="AA39" s="2295"/>
      <c r="AB39" s="2296"/>
      <c r="AC39" s="2297" t="s">
        <v>429</v>
      </c>
      <c r="AD39" s="2294" t="s">
        <v>428</v>
      </c>
      <c r="AE39" s="2295"/>
      <c r="AF39" s="2295"/>
      <c r="AG39" s="2295"/>
      <c r="AH39" s="2295"/>
      <c r="AI39" s="2295"/>
      <c r="AJ39" s="2296"/>
      <c r="AK39" s="2297" t="s">
        <v>430</v>
      </c>
      <c r="AL39" s="2300" t="s">
        <v>431</v>
      </c>
      <c r="AM39" s="2147"/>
      <c r="AS39" s="1162">
        <v>14</v>
      </c>
    </row>
    <row customHeight="1" ht="35.699999999999996">
      <c r="Q40" s="383"/>
      <c r="R40" s="383"/>
      <c r="S40" s="2293"/>
      <c r="T40" s="2229"/>
      <c r="U40" s="1038"/>
      <c r="V40" s="2280" t="s">
        <v>432</v>
      </c>
      <c r="W40" s="2303" t="s">
        <v>433</v>
      </c>
      <c r="X40" s="2282" t="s">
        <v>434</v>
      </c>
      <c r="Y40" s="2283"/>
      <c r="Z40" s="2282" t="s">
        <v>448</v>
      </c>
      <c r="AA40" s="2289"/>
      <c r="AB40" s="2283"/>
      <c r="AC40" s="2298"/>
      <c r="AD40" s="2280" t="s">
        <v>432</v>
      </c>
      <c r="AE40" s="2303" t="s">
        <v>433</v>
      </c>
      <c r="AF40" s="2282" t="s">
        <v>434</v>
      </c>
      <c r="AG40" s="2283"/>
      <c r="AH40" s="2282" t="s">
        <v>435</v>
      </c>
      <c r="AI40" s="2289"/>
      <c r="AJ40" s="2283"/>
      <c r="AK40" s="2298"/>
      <c r="AL40" s="2301"/>
      <c r="AM40" s="2147"/>
      <c r="AS40" s="1162">
        <v>34</v>
      </c>
    </row>
    <row customHeight="1" ht="35.699999999999996">
      <c r="A41" s="1377"/>
      <c r="B41" s="1377" t="s">
        <v>136</v>
      </c>
      <c r="C41" s="1377" t="s">
        <v>137</v>
      </c>
      <c r="D41" s="1377" t="s">
        <v>138</v>
      </c>
      <c r="E41" s="1371" t="s">
        <v>436</v>
      </c>
      <c r="F41" s="1371" t="s">
        <v>437</v>
      </c>
      <c r="G41" s="1371" t="s">
        <v>438</v>
      </c>
      <c r="H41" s="1371" t="s">
        <v>439</v>
      </c>
      <c r="I41" s="1371" t="s">
        <v>440</v>
      </c>
      <c r="J41" s="1371" t="s">
        <v>441</v>
      </c>
      <c r="K41" s="1371" t="s">
        <v>442</v>
      </c>
      <c r="L41" s="1371" t="s">
        <v>417</v>
      </c>
      <c r="Q41" s="383"/>
      <c r="R41" s="383"/>
      <c r="S41" s="2293"/>
      <c r="T41" s="2229"/>
      <c r="U41" s="309"/>
      <c r="V41" s="2281"/>
      <c r="W41" s="2304"/>
      <c r="X41" s="1229" t="s">
        <v>443</v>
      </c>
      <c r="Y41" s="1229" t="s">
        <v>444</v>
      </c>
      <c r="Z41" s="1345" t="s">
        <v>445</v>
      </c>
      <c r="AA41" s="2290" t="s">
        <v>446</v>
      </c>
      <c r="AB41" s="2291"/>
      <c r="AC41" s="2299"/>
      <c r="AD41" s="2281"/>
      <c r="AE41" s="2304"/>
      <c r="AF41" s="1229" t="s">
        <v>443</v>
      </c>
      <c r="AG41" s="1229" t="s">
        <v>444</v>
      </c>
      <c r="AH41" s="1345" t="s">
        <v>445</v>
      </c>
      <c r="AI41" s="2290" t="s">
        <v>446</v>
      </c>
      <c r="AJ41" s="2291"/>
      <c r="AK41" s="2299"/>
      <c r="AL41" s="2302"/>
      <c r="AM41" s="2147"/>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92">
        <f>OFFSET(AA42,0,-1)+1</f>
        <v>4</v>
      </c>
      <c r="AB42" s="2292"/>
      <c r="AC42" s="1342">
        <f>OFFSET(AC42,0,-2)+1</f>
        <v>5</v>
      </c>
      <c r="AD42" s="1342">
        <f>OFFSET(AD42,0,-1)+1</f>
        <v>6</v>
      </c>
      <c r="AE42" s="1342"/>
      <c r="AF42" s="1342">
        <f>OFFSET(AF42,0,-1)+1</f>
        <v>1</v>
      </c>
      <c r="AG42" s="1342">
        <f>OFFSET(AG42,0,-1)+1</f>
        <v>2</v>
      </c>
      <c r="AH42" s="1342">
        <f>OFFSET(AH42,0,-1)+1</f>
        <v>3</v>
      </c>
      <c r="AI42" s="2292">
        <f>OFFSET(AI42,0,-1)+1</f>
        <v>4</v>
      </c>
      <c r="AJ42" s="2292"/>
      <c r="AK42" s="1342">
        <f>OFFSET(AK42,0,-2)+1</f>
        <v>5</v>
      </c>
      <c r="AL42" s="1252">
        <f>OFFSET(AL42,0,-1)</f>
        <v>5</v>
      </c>
      <c r="AM42" s="1342">
        <f>OFFSET(AM42,0,-1)+1</f>
        <v>6</v>
      </c>
      <c r="AN42" s="518"/>
      <c r="AO42" s="518"/>
      <c r="AP42" s="518"/>
      <c r="AQ42" s="518"/>
      <c r="AR42" s="518"/>
      <c r="AS42" s="503">
        <v>0</v>
      </c>
    </row>
    <row customHeight="1" ht="22.049999999999997">
      <c r="A43" s="1370" t="s">
        <v>162</v>
      </c>
      <c r="B43" s="1370"/>
      <c r="C43" s="1370"/>
      <c r="D43" s="1370"/>
      <c r="E43" s="2278">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162</v>
      </c>
      <c r="B44" s="1370" t="s">
        <v>163</v>
      </c>
      <c r="C44" s="1370"/>
      <c r="D44" s="1370"/>
      <c r="E44" s="2279"/>
      <c r="F44" s="2278">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65" t="s">
        <v>397</v>
      </c>
      <c r="AO44" s="507"/>
      <c r="AP44" s="507" t="str">
        <f>IF(T44="","",T44)</f>
        <v>Территория действия тарифа</v>
      </c>
      <c r="AQ44" s="507"/>
      <c r="AR44" s="507"/>
      <c r="AS44" s="1162">
        <v>21</v>
      </c>
    </row>
    <row customHeight="1" ht="24">
      <c r="A45" s="1370" t="s">
        <v>162</v>
      </c>
      <c r="B45" s="1370" t="s">
        <v>163</v>
      </c>
      <c r="C45" s="1370" t="s">
        <v>164</v>
      </c>
      <c r="D45" s="1370"/>
      <c r="E45" s="2279"/>
      <c r="F45" s="2279"/>
      <c r="G45" s="2278">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65" t="s">
        <v>399</v>
      </c>
      <c r="AO45" s="507"/>
      <c r="AP45" s="507" t="str">
        <f>IF(T45="","",T45)</f>
        <v>Наименование системы теплоснабжения </v>
      </c>
      <c r="AQ45" s="507"/>
      <c r="AR45" s="507"/>
      <c r="AS45" s="1162">
        <v>23</v>
      </c>
    </row>
    <row customHeight="1" ht="22.049999999999997">
      <c r="A46" s="1370" t="s">
        <v>162</v>
      </c>
      <c r="B46" s="1370" t="s">
        <v>163</v>
      </c>
      <c r="C46" s="1370" t="s">
        <v>164</v>
      </c>
      <c r="D46" s="1370" t="s">
        <v>165</v>
      </c>
      <c r="E46" s="2279"/>
      <c r="F46" s="2279"/>
      <c r="G46" s="2279"/>
      <c r="H46" s="2278">
        <v>1</v>
      </c>
      <c r="I46" s="1370"/>
      <c r="J46" s="1370"/>
      <c r="K46" s="1370"/>
      <c r="L46" s="1371"/>
      <c r="M46" s="1372"/>
      <c r="N46" s="1372"/>
      <c r="O46" s="1372"/>
      <c r="P46" s="361"/>
      <c r="Q46" s="359"/>
      <c r="R46" s="360"/>
      <c r="S46" s="1343" t="str">
        <f>INDEX(PT_DIFFERENTIATION_NUM_IST_TE,MATCH(D46,PT_DIFFERENTIATION_IST_TE_ID,0))</f>
        <v>...</v>
      </c>
      <c r="T46" s="317" t="s">
        <v>400</v>
      </c>
      <c r="U46" s="307"/>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65" t="s">
        <v>401</v>
      </c>
      <c r="AO46" s="507"/>
      <c r="AP46" s="507" t="str">
        <f>IF(T46="","",T46)</f>
        <v>Источник тепловой энергии  </v>
      </c>
      <c r="AQ46" s="507"/>
      <c r="AR46" s="507"/>
      <c r="AS46" s="1162">
        <v>21</v>
      </c>
    </row>
    <row customHeight="1" ht="49.5">
      <c r="A47" s="1370" t="s">
        <v>162</v>
      </c>
      <c r="B47" s="1370" t="s">
        <v>163</v>
      </c>
      <c r="C47" s="1370" t="s">
        <v>164</v>
      </c>
      <c r="D47" s="1370" t="s">
        <v>165</v>
      </c>
      <c r="E47" s="2279"/>
      <c r="F47" s="2279"/>
      <c r="G47" s="2279"/>
      <c r="H47" s="2279"/>
      <c r="I47" s="2276" t="str">
        <f>S46&amp;".1"</f>
        <v>....1</v>
      </c>
      <c r="J47" s="1370"/>
      <c r="K47" s="1370"/>
      <c r="L47" s="1371" t="s">
        <v>402</v>
      </c>
      <c r="P47" s="2277">
        <v>1</v>
      </c>
      <c r="Q47" s="1338"/>
      <c r="R47" s="363"/>
      <c r="S47" s="1343" t="str">
        <f>$I47</f>
        <v>....1</v>
      </c>
      <c r="T47" s="292" t="s">
        <v>403</v>
      </c>
      <c r="U47" s="307"/>
      <c r="V47" s="2265"/>
      <c r="W47" s="2266"/>
      <c r="X47" s="2266"/>
      <c r="Y47" s="2266"/>
      <c r="Z47" s="2266"/>
      <c r="AA47" s="2266"/>
      <c r="AB47" s="2266"/>
      <c r="AC47" s="2267"/>
      <c r="AD47" s="2265"/>
      <c r="AE47" s="2266"/>
      <c r="AF47" s="2266"/>
      <c r="AG47" s="2266"/>
      <c r="AH47" s="2266"/>
      <c r="AI47" s="2266"/>
      <c r="AJ47" s="2266"/>
      <c r="AK47" s="2266"/>
      <c r="AL47" s="2267"/>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162</v>
      </c>
      <c r="B48" s="1370" t="s">
        <v>163</v>
      </c>
      <c r="C48" s="1370" t="s">
        <v>164</v>
      </c>
      <c r="D48" s="1370" t="s">
        <v>165</v>
      </c>
      <c r="E48" s="2279"/>
      <c r="F48" s="2279"/>
      <c r="G48" s="2279"/>
      <c r="H48" s="2279"/>
      <c r="I48" s="2306"/>
      <c r="J48" s="2276" t="str">
        <f>I47&amp;".1"</f>
        <v>....1.1</v>
      </c>
      <c r="K48" s="1370"/>
      <c r="L48" s="1371" t="s">
        <v>405</v>
      </c>
      <c r="P48" s="2277"/>
      <c r="Q48" s="2277">
        <v>1</v>
      </c>
      <c r="R48" s="364"/>
      <c r="S48" s="1343" t="str">
        <f>$J48</f>
        <v>....1.1</v>
      </c>
      <c r="T48" s="293" t="s">
        <v>406</v>
      </c>
      <c r="U48" s="307"/>
      <c r="V48" s="2265"/>
      <c r="W48" s="2266"/>
      <c r="X48" s="2266"/>
      <c r="Y48" s="2266"/>
      <c r="Z48" s="2266"/>
      <c r="AA48" s="2266"/>
      <c r="AB48" s="2266"/>
      <c r="AC48" s="2267"/>
      <c r="AD48" s="2265"/>
      <c r="AE48" s="2266"/>
      <c r="AF48" s="2266"/>
      <c r="AG48" s="2266"/>
      <c r="AH48" s="2266"/>
      <c r="AI48" s="2266"/>
      <c r="AJ48" s="2266"/>
      <c r="AK48" s="2266"/>
      <c r="AL48" s="2267"/>
      <c r="AM48" s="1265" t="s">
        <v>407</v>
      </c>
      <c r="AO48" s="507"/>
      <c r="AP48" s="507" t="str">
        <f>IF(T48="","",T48)</f>
        <v>Группа потребителей</v>
      </c>
      <c r="AQ48" s="507"/>
      <c r="AR48" s="507"/>
      <c r="AS48" s="1162">
        <v>21</v>
      </c>
    </row>
    <row customHeight="1" ht="22.049999999999997">
      <c r="A49" s="1370" t="s">
        <v>162</v>
      </c>
      <c r="B49" s="1370" t="s">
        <v>163</v>
      </c>
      <c r="C49" s="1370" t="s">
        <v>164</v>
      </c>
      <c r="D49" s="1370" t="s">
        <v>165</v>
      </c>
      <c r="E49" s="2279"/>
      <c r="F49" s="2279"/>
      <c r="G49" s="2279"/>
      <c r="H49" s="2279"/>
      <c r="I49" s="2306"/>
      <c r="J49" s="2306"/>
      <c r="K49" s="2276" t="str">
        <f>J48&amp;".1"</f>
        <v>....1.1.1</v>
      </c>
      <c r="L49" s="1371" t="s">
        <v>408</v>
      </c>
      <c r="P49" s="2277"/>
      <c r="Q49" s="2277"/>
      <c r="R49" s="364">
        <v>1</v>
      </c>
      <c r="S49" s="1343" t="str">
        <f>$K49</f>
        <v>....1.1.1</v>
      </c>
      <c r="T49" s="1354"/>
      <c r="U49" s="307"/>
      <c r="V49" s="758"/>
      <c r="W49" s="332"/>
      <c r="X49" s="758"/>
      <c r="Y49" s="1264"/>
      <c r="Z49" s="2285"/>
      <c r="AA49" s="2127" t="s">
        <v>61</v>
      </c>
      <c r="AB49" s="2285"/>
      <c r="AC49" s="2127" t="s">
        <v>61</v>
      </c>
      <c r="AD49" s="758"/>
      <c r="AE49" s="332"/>
      <c r="AF49" s="758"/>
      <c r="AG49" s="1264"/>
      <c r="AH49" s="2285"/>
      <c r="AI49" s="2127" t="s">
        <v>61</v>
      </c>
      <c r="AJ49" s="2307"/>
      <c r="AK49" s="2127" t="s">
        <v>61</v>
      </c>
      <c r="AL49" s="1355"/>
      <c r="AM49" s="2273" t="s">
        <v>409</v>
      </c>
      <c r="AN49" s="518">
        <f>STRCHECKDATE(V50:AL50)</f>
      </c>
      <c r="AO49" s="507"/>
      <c r="AP49" s="507" t="str">
        <f>IF(T49="","",T49)</f>
        <v/>
      </c>
      <c r="AQ49" s="507"/>
      <c r="AR49" s="507"/>
      <c r="AS49" s="1162">
        <v>21</v>
      </c>
    </row>
    <row customHeight="1" ht="1.05">
      <c r="A50" s="1370" t="s">
        <v>162</v>
      </c>
      <c r="B50" s="1370" t="s">
        <v>163</v>
      </c>
      <c r="C50" s="1370" t="s">
        <v>164</v>
      </c>
      <c r="D50" s="1370" t="s">
        <v>165</v>
      </c>
      <c r="E50" s="2279"/>
      <c r="F50" s="2279"/>
      <c r="G50" s="2279"/>
      <c r="H50" s="2279"/>
      <c r="I50" s="2306"/>
      <c r="J50" s="2306"/>
      <c r="K50" s="2276"/>
      <c r="L50" s="1371"/>
      <c r="P50" s="2277"/>
      <c r="Q50" s="2277"/>
      <c r="R50" s="364"/>
      <c r="S50" s="1349"/>
      <c r="T50" s="307"/>
      <c r="U50" s="307"/>
      <c r="V50" s="332"/>
      <c r="W50" s="332"/>
      <c r="X50" s="332"/>
      <c r="Y50" s="335" t="str">
        <f>Z49&amp;"-"&amp;AB49</f>
        <v>-</v>
      </c>
      <c r="Z50" s="2286"/>
      <c r="AA50" s="2127"/>
      <c r="AB50" s="2286"/>
      <c r="AC50" s="2127"/>
      <c r="AD50" s="332"/>
      <c r="AE50" s="332"/>
      <c r="AF50" s="332"/>
      <c r="AG50" s="335" t="str">
        <f>AH49&amp;"-"&amp;AJ49</f>
        <v>-</v>
      </c>
      <c r="AH50" s="2286"/>
      <c r="AI50" s="2127"/>
      <c r="AJ50" s="2308"/>
      <c r="AK50" s="2127"/>
      <c r="AL50" s="1356"/>
      <c r="AM50" s="2274"/>
      <c r="AO50" s="507"/>
      <c r="AP50" s="507" t="str">
        <f>IF(T50="","",T50)</f>
        <v/>
      </c>
      <c r="AQ50" s="507"/>
      <c r="AR50" s="507"/>
      <c r="AS50" s="1162">
        <v>1</v>
      </c>
    </row>
    <row customHeight="1" ht="11.549999999999999">
      <c r="A51" s="1370" t="s">
        <v>162</v>
      </c>
      <c r="B51" s="1370" t="s">
        <v>163</v>
      </c>
      <c r="C51" s="1370" t="s">
        <v>164</v>
      </c>
      <c r="D51" s="1370" t="s">
        <v>165</v>
      </c>
      <c r="E51" s="2279"/>
      <c r="F51" s="2279"/>
      <c r="G51" s="2279"/>
      <c r="H51" s="2279"/>
      <c r="I51" s="2306"/>
      <c r="J51" s="2276"/>
      <c r="K51" s="1370"/>
      <c r="L51" s="1371"/>
      <c r="P51" s="2277"/>
      <c r="Q51" s="2277"/>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75"/>
      <c r="AO51" s="507"/>
      <c r="AP51" s="507" t="str">
        <f>IF(T51="","",T51)</f>
        <v>Добавить вид теплоносителя (параметры теплоносителя)</v>
      </c>
      <c r="AQ51" s="507"/>
      <c r="AR51" s="507"/>
      <c r="AS51" s="1162">
        <v>11</v>
      </c>
    </row>
    <row customHeight="1" ht="11.549999999999999">
      <c r="A52" s="1370" t="s">
        <v>162</v>
      </c>
      <c r="B52" s="1370" t="s">
        <v>163</v>
      </c>
      <c r="C52" s="1370" t="s">
        <v>164</v>
      </c>
      <c r="D52" s="1370" t="s">
        <v>165</v>
      </c>
      <c r="E52" s="2279"/>
      <c r="F52" s="2279"/>
      <c r="G52" s="2279"/>
      <c r="H52" s="2279"/>
      <c r="I52" s="2276"/>
      <c r="J52" s="1370"/>
      <c r="K52" s="1370"/>
      <c r="L52" s="1371"/>
      <c r="P52" s="2277"/>
      <c r="Q52" s="1338"/>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162</v>
      </c>
      <c r="B53" s="1370" t="s">
        <v>163</v>
      </c>
      <c r="C53" s="1370" t="s">
        <v>164</v>
      </c>
      <c r="D53" s="1370" t="s">
        <v>165</v>
      </c>
      <c r="E53" s="2279"/>
      <c r="F53" s="2279"/>
      <c r="G53" s="2279"/>
      <c r="H53" s="2278"/>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162</v>
      </c>
      <c r="B54" s="1350" t="s">
        <v>163</v>
      </c>
      <c r="C54" s="1350" t="s">
        <v>164</v>
      </c>
      <c r="D54" s="1321"/>
      <c r="E54" s="2279"/>
      <c r="F54" s="2279"/>
      <c r="G54" s="2278"/>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162</v>
      </c>
      <c r="B55" s="1350" t="s">
        <v>163</v>
      </c>
      <c r="C55" s="1321"/>
      <c r="D55" s="1321"/>
      <c r="E55" s="2279"/>
      <c r="F55" s="2278"/>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162</v>
      </c>
      <c r="B56" s="1350"/>
      <c r="C56" s="1350"/>
      <c r="D56" s="1350"/>
      <c r="E56" s="2278"/>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62">
        <v>27</v>
      </c>
    </row>
    <row customHeight="1" ht="65.25">
      <c r="O60" s="54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62">
        <v>62</v>
      </c>
    </row>
    <row customHeight="1" ht="14.699999999999998">
      <c r="O61" s="544"/>
      <c r="AS61" s="1162">
        <v>14</v>
      </c>
    </row>
    <row customHeight="1" ht="18.75">
      <c r="O62" s="544"/>
      <c r="S62" s="1260"/>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62">
        <v>18</v>
      </c>
    </row>
    <row customHeight="1" ht="18.75">
      <c r="O63" s="544"/>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62">
        <v>18</v>
      </c>
    </row>
    <row customHeight="1" ht="29.25">
      <c r="O64" s="544"/>
      <c r="S64" s="1260"/>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40A4E-0C82-5C0F-C26A-0.1E13095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51" width="3.00390625" customWidth="1"/>
    <col min="19" max="19" style="2427"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309">
        <v>1</v>
      </c>
      <c r="F2" s="1274"/>
      <c r="G2" s="1274"/>
      <c r="H2" s="1274"/>
      <c r="I2" s="1274"/>
      <c r="J2" s="1274"/>
      <c r="K2" s="1274"/>
      <c r="L2" s="1317"/>
      <c r="M2" s="1617"/>
      <c r="N2" s="1617"/>
      <c r="O2" s="1617"/>
      <c r="P2" s="1597"/>
      <c r="Q2" s="367"/>
      <c r="R2" s="362"/>
      <c r="S2" s="1962">
        <f>INDEX(PT_DIFFERENTIATION_NUM_NTAR,MATCH(A2,PT_DIFFERENTIATION_NTAR_ID,0))</f>
      </c>
      <c r="T2" s="1532" t="s">
        <v>124</v>
      </c>
      <c r="U2" s="307"/>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65" t="s">
        <v>395</v>
      </c>
      <c r="AO2" s="1631"/>
      <c r="AP2" s="1631" t="str">
        <f>IF(T2="","",T2)</f>
        <v>Наименование тарифа</v>
      </c>
      <c r="AQ2" s="1631"/>
      <c r="AR2" s="1631"/>
      <c r="AS2" s="1638">
        <v>0</v>
      </c>
    </row>
    <row customHeight="1" ht="21" hidden="1">
      <c r="A3" s="1274"/>
      <c r="B3" s="1274"/>
      <c r="C3" s="1274"/>
      <c r="D3" s="1274"/>
      <c r="E3" s="2310"/>
      <c r="F3" s="2309">
        <v>1</v>
      </c>
      <c r="G3" s="1274"/>
      <c r="H3" s="1274"/>
      <c r="I3" s="1274"/>
      <c r="J3" s="1274"/>
      <c r="K3" s="1274"/>
      <c r="L3" s="1317"/>
      <c r="M3" s="1617"/>
      <c r="N3" s="1617"/>
      <c r="O3" s="1617"/>
      <c r="P3" s="1944"/>
      <c r="Q3" s="359"/>
      <c r="R3" s="360"/>
      <c r="S3" s="1962">
        <f>INDEX(PT_DIFFERENTIATION_NUM_TER,MATCH(B3,PT_DIFFERENTIATION_TER_ID,0))</f>
      </c>
      <c r="T3" s="1529" t="s">
        <v>396</v>
      </c>
      <c r="U3" s="307"/>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65" t="s">
        <v>397</v>
      </c>
      <c r="AO3" s="1631"/>
      <c r="AP3" s="1631" t="str">
        <f>IF(T3="","",T3)</f>
        <v>Территория действия тарифа</v>
      </c>
      <c r="AQ3" s="1631"/>
      <c r="AR3" s="1631"/>
      <c r="AS3" s="1638">
        <v>0</v>
      </c>
    </row>
    <row customHeight="1" ht="23.25" hidden="1">
      <c r="A4" s="1274"/>
      <c r="B4" s="1274"/>
      <c r="C4" s="1274"/>
      <c r="D4" s="1274"/>
      <c r="E4" s="2310"/>
      <c r="F4" s="2310"/>
      <c r="G4" s="2309">
        <v>1</v>
      </c>
      <c r="H4" s="1274"/>
      <c r="I4" s="1274"/>
      <c r="J4" s="1274"/>
      <c r="K4" s="1274"/>
      <c r="L4" s="1317"/>
      <c r="M4" s="1617"/>
      <c r="N4" s="1617"/>
      <c r="O4" s="1617"/>
      <c r="P4" s="361"/>
      <c r="Q4" s="359"/>
      <c r="R4" s="360"/>
      <c r="S4" s="1962">
        <f>INDEX(PT_DIFFERENTIATION_NUM_CS,MATCH(C4,PT_DIFFERENTIATION_CS_ID,0))</f>
      </c>
      <c r="T4" s="316" t="s">
        <v>398</v>
      </c>
      <c r="U4" s="307"/>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65" t="s">
        <v>399</v>
      </c>
      <c r="AO4" s="1631"/>
      <c r="AP4" s="1631" t="str">
        <f>IF(T4="","",T4)</f>
        <v>Наименование системы теплоснабжения </v>
      </c>
      <c r="AQ4" s="1631"/>
      <c r="AR4" s="1631"/>
      <c r="AS4" s="1638">
        <v>0</v>
      </c>
    </row>
    <row customHeight="1" ht="21" hidden="1">
      <c r="A5" s="1274"/>
      <c r="B5" s="1274"/>
      <c r="C5" s="1274"/>
      <c r="D5" s="1274"/>
      <c r="E5" s="2310"/>
      <c r="F5" s="2310"/>
      <c r="G5" s="2310"/>
      <c r="H5" s="2309">
        <v>1</v>
      </c>
      <c r="I5" s="1274"/>
      <c r="J5" s="1274"/>
      <c r="K5" s="1274"/>
      <c r="L5" s="1317"/>
      <c r="M5" s="1617"/>
      <c r="N5" s="1617"/>
      <c r="O5" s="1617"/>
      <c r="P5" s="361"/>
      <c r="Q5" s="359"/>
      <c r="R5" s="360"/>
      <c r="S5" s="1962">
        <f>INDEX(PT_DIFFERENTIATION_NUM_IST_TE,MATCH(D5,PT_DIFFERENTIATION_IST_TE_ID,0))</f>
      </c>
      <c r="T5" s="317" t="s">
        <v>400</v>
      </c>
      <c r="U5" s="307"/>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65" t="s">
        <v>401</v>
      </c>
      <c r="AO5" s="1631"/>
      <c r="AP5" s="1631" t="str">
        <f>IF(T5="","",T5)</f>
        <v>Источник тепловой энергии  </v>
      </c>
      <c r="AQ5" s="1631"/>
      <c r="AR5" s="1631"/>
      <c r="AS5" s="1638">
        <v>0</v>
      </c>
    </row>
    <row customHeight="1" ht="47.25" hidden="1">
      <c r="A6" s="1274"/>
      <c r="B6" s="1274"/>
      <c r="C6" s="1274"/>
      <c r="D6" s="1274"/>
      <c r="E6" s="2310"/>
      <c r="F6" s="2310"/>
      <c r="G6" s="2310"/>
      <c r="H6" s="2310"/>
      <c r="I6" s="2147">
        <f>S5&amp;".1"</f>
      </c>
      <c r="J6" s="1274"/>
      <c r="K6" s="1274"/>
      <c r="L6" s="1317" t="s">
        <v>402</v>
      </c>
      <c r="M6" s="1642"/>
      <c r="P6" s="2277">
        <v>1</v>
      </c>
      <c r="Q6" s="1958"/>
      <c r="R6" s="363"/>
      <c r="S6" s="1962">
        <f>$I6</f>
      </c>
      <c r="T6" s="292" t="s">
        <v>403</v>
      </c>
      <c r="U6" s="307"/>
      <c r="V6" s="2265"/>
      <c r="W6" s="2266"/>
      <c r="X6" s="2266"/>
      <c r="Y6" s="2266"/>
      <c r="Z6" s="2266"/>
      <c r="AA6" s="2266"/>
      <c r="AB6" s="2266"/>
      <c r="AC6" s="2267"/>
      <c r="AD6" s="2265"/>
      <c r="AE6" s="2266"/>
      <c r="AF6" s="2266"/>
      <c r="AG6" s="2266"/>
      <c r="AH6" s="2266"/>
      <c r="AI6" s="2266"/>
      <c r="AJ6" s="2266"/>
      <c r="AK6" s="2266"/>
      <c r="AL6" s="2267"/>
      <c r="AM6" s="1265" t="s">
        <v>404</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310"/>
      <c r="F7" s="2310"/>
      <c r="G7" s="2310"/>
      <c r="H7" s="2310"/>
      <c r="I7" s="2121"/>
      <c r="J7" s="2147">
        <f>I6&amp;".1"</f>
      </c>
      <c r="K7" s="1274"/>
      <c r="L7" s="1317" t="s">
        <v>405</v>
      </c>
      <c r="M7" s="1642"/>
      <c r="N7" s="1638"/>
      <c r="P7" s="2277"/>
      <c r="Q7" s="2277">
        <v>1</v>
      </c>
      <c r="R7" s="364"/>
      <c r="S7" s="1962">
        <f>$J7</f>
      </c>
      <c r="T7" s="293" t="s">
        <v>406</v>
      </c>
      <c r="U7" s="307"/>
      <c r="V7" s="2265"/>
      <c r="W7" s="2266"/>
      <c r="X7" s="2266"/>
      <c r="Y7" s="2266"/>
      <c r="Z7" s="2266"/>
      <c r="AA7" s="2266"/>
      <c r="AB7" s="2266"/>
      <c r="AC7" s="2267"/>
      <c r="AD7" s="2265"/>
      <c r="AE7" s="2266"/>
      <c r="AF7" s="2266"/>
      <c r="AG7" s="2266"/>
      <c r="AH7" s="2266"/>
      <c r="AI7" s="2266"/>
      <c r="AJ7" s="2266"/>
      <c r="AK7" s="2266"/>
      <c r="AL7" s="2267"/>
      <c r="AM7" s="1265" t="s">
        <v>407</v>
      </c>
      <c r="AO7" s="1631"/>
      <c r="AP7" s="1631" t="str">
        <f>IF(T7="","",T7)</f>
        <v>Группа потребителей</v>
      </c>
      <c r="AQ7" s="1631"/>
      <c r="AR7" s="1631"/>
      <c r="AS7" s="1638">
        <v>0</v>
      </c>
    </row>
    <row customHeight="1" ht="21" hidden="1">
      <c r="A8" s="1274"/>
      <c r="B8" s="1274"/>
      <c r="C8" s="1274"/>
      <c r="D8" s="1274"/>
      <c r="E8" s="2310"/>
      <c r="F8" s="2310"/>
      <c r="G8" s="2310"/>
      <c r="H8" s="2310"/>
      <c r="I8" s="2121"/>
      <c r="J8" s="2121"/>
      <c r="K8" s="2147">
        <f>J7&amp;".1"</f>
      </c>
      <c r="L8" s="1317" t="s">
        <v>408</v>
      </c>
      <c r="M8" s="1642"/>
      <c r="N8" s="1638"/>
      <c r="O8" s="1638"/>
      <c r="P8" s="2277"/>
      <c r="Q8" s="2277"/>
      <c r="R8" s="364">
        <v>1</v>
      </c>
      <c r="S8" s="1962">
        <f>$K8</f>
      </c>
      <c r="T8" s="1354"/>
      <c r="U8" s="307"/>
      <c r="V8" s="758"/>
      <c r="W8" s="332"/>
      <c r="X8" s="758"/>
      <c r="Y8" s="1264"/>
      <c r="Z8" s="2285"/>
      <c r="AA8" s="2127" t="s">
        <v>61</v>
      </c>
      <c r="AB8" s="2285"/>
      <c r="AC8" s="2127" t="s">
        <v>61</v>
      </c>
      <c r="AD8" s="758"/>
      <c r="AE8" s="332"/>
      <c r="AF8" s="758"/>
      <c r="AG8" s="1264"/>
      <c r="AH8" s="2285"/>
      <c r="AI8" s="2127" t="s">
        <v>61</v>
      </c>
      <c r="AJ8" s="2285"/>
      <c r="AK8" s="2127" t="s">
        <v>61</v>
      </c>
      <c r="AL8" s="332"/>
      <c r="AM8" s="2273" t="s">
        <v>409</v>
      </c>
      <c r="AN8" s="1643">
        <f>STRCHECKDATE(V9:AL9)</f>
      </c>
      <c r="AO8" s="1631"/>
      <c r="AP8" s="1631" t="str">
        <f>IF(T8="","",T8)</f>
        <v/>
      </c>
      <c r="AQ8" s="1631"/>
      <c r="AR8" s="1631"/>
      <c r="AS8" s="1638">
        <v>0</v>
      </c>
    </row>
    <row customHeight="1" ht="0.75" hidden="1">
      <c r="A9" s="1274"/>
      <c r="B9" s="1274"/>
      <c r="C9" s="1274"/>
      <c r="D9" s="1274"/>
      <c r="E9" s="2310"/>
      <c r="F9" s="2310"/>
      <c r="G9" s="2310"/>
      <c r="H9" s="2310"/>
      <c r="I9" s="2121"/>
      <c r="J9" s="2121"/>
      <c r="K9" s="2147"/>
      <c r="L9" s="1317"/>
      <c r="M9" s="1642"/>
      <c r="N9" s="1638"/>
      <c r="O9" s="1638"/>
      <c r="P9" s="2277"/>
      <c r="Q9" s="2277"/>
      <c r="R9" s="364"/>
      <c r="S9" s="1971"/>
      <c r="T9" s="307"/>
      <c r="U9" s="307"/>
      <c r="V9" s="332"/>
      <c r="W9" s="332"/>
      <c r="X9" s="332"/>
      <c r="Y9" s="335" t="str">
        <f>Z8&amp;"-"&amp;AB8</f>
        <v>-</v>
      </c>
      <c r="Z9" s="2286"/>
      <c r="AA9" s="2127"/>
      <c r="AB9" s="2286"/>
      <c r="AC9" s="2127"/>
      <c r="AD9" s="332"/>
      <c r="AE9" s="332"/>
      <c r="AF9" s="332"/>
      <c r="AG9" s="335" t="str">
        <f>AH8&amp;"-"&amp;AJ8</f>
        <v>-</v>
      </c>
      <c r="AH9" s="2286"/>
      <c r="AI9" s="2127"/>
      <c r="AJ9" s="2286"/>
      <c r="AK9" s="2127"/>
      <c r="AL9" s="332"/>
      <c r="AM9" s="2274"/>
      <c r="AO9" s="1631"/>
      <c r="AP9" s="1631" t="str">
        <f>IF(T9="","",T9)</f>
        <v/>
      </c>
      <c r="AQ9" s="1631"/>
      <c r="AR9" s="1631"/>
      <c r="AS9" s="1638">
        <v>0</v>
      </c>
    </row>
    <row customHeight="1" ht="15" hidden="1">
      <c r="A10" s="1274"/>
      <c r="B10" s="1274"/>
      <c r="C10" s="1274"/>
      <c r="D10" s="1274"/>
      <c r="E10" s="2310"/>
      <c r="F10" s="2310"/>
      <c r="G10" s="2310"/>
      <c r="H10" s="2310"/>
      <c r="I10" s="2121"/>
      <c r="J10" s="2147"/>
      <c r="K10" s="1274"/>
      <c r="L10" s="1317"/>
      <c r="M10" s="1642"/>
      <c r="N10" s="1638"/>
      <c r="P10" s="2277"/>
      <c r="Q10" s="2277"/>
      <c r="R10" s="363"/>
      <c r="S10" s="1285"/>
      <c r="T10" s="295" t="s">
        <v>410</v>
      </c>
      <c r="U10" s="607"/>
      <c r="V10" s="607"/>
      <c r="W10" s="607"/>
      <c r="X10" s="607"/>
      <c r="Y10" s="607"/>
      <c r="Z10" s="607"/>
      <c r="AA10" s="607"/>
      <c r="AB10" s="607"/>
      <c r="AC10" s="607"/>
      <c r="AD10" s="607"/>
      <c r="AE10" s="607"/>
      <c r="AF10" s="607"/>
      <c r="AG10" s="607"/>
      <c r="AH10" s="607"/>
      <c r="AI10" s="607"/>
      <c r="AJ10" s="607"/>
      <c r="AK10" s="607"/>
      <c r="AL10" s="331"/>
      <c r="AM10" s="2275"/>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310"/>
      <c r="F11" s="2310"/>
      <c r="G11" s="2310"/>
      <c r="H11" s="2310"/>
      <c r="I11" s="2147"/>
      <c r="J11" s="1274"/>
      <c r="K11" s="1274"/>
      <c r="L11" s="1317"/>
      <c r="M11" s="1642"/>
      <c r="P11" s="2277"/>
      <c r="Q11" s="1958"/>
      <c r="R11" s="363"/>
      <c r="S11" s="1285"/>
      <c r="T11" s="294" t="s">
        <v>411</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310"/>
      <c r="F12" s="2310"/>
      <c r="G12" s="2310"/>
      <c r="H12" s="2309"/>
      <c r="I12" s="1274"/>
      <c r="J12" s="1274"/>
      <c r="K12" s="1274"/>
      <c r="L12" s="1317"/>
      <c r="M12" s="1617"/>
      <c r="N12" s="1617"/>
      <c r="O12" s="1642"/>
      <c r="P12" s="367"/>
      <c r="Q12" s="382"/>
      <c r="R12" s="362"/>
      <c r="S12" s="1285"/>
      <c r="T12" s="372" t="s">
        <v>412</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310"/>
      <c r="F13" s="2310"/>
      <c r="G13" s="2309"/>
      <c r="H13" s="1381"/>
      <c r="I13" s="1381"/>
      <c r="J13" s="1381"/>
      <c r="K13" s="1381"/>
      <c r="L13" s="1384"/>
      <c r="M13" s="1385"/>
      <c r="N13" s="1385"/>
      <c r="O13" s="358"/>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310"/>
      <c r="F14" s="2309"/>
      <c r="G14" s="1381"/>
      <c r="H14" s="1381"/>
      <c r="I14" s="1381"/>
      <c r="J14" s="1381"/>
      <c r="K14" s="1381"/>
      <c r="L14" s="1384"/>
      <c r="M14" s="1386"/>
      <c r="N14" s="1386"/>
      <c r="O14" s="35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309"/>
      <c r="F15" s="1381"/>
      <c r="G15" s="1381"/>
      <c r="H15" s="1381"/>
      <c r="I15" s="1381"/>
      <c r="J15" s="1381"/>
      <c r="K15" s="1381"/>
      <c r="L15" s="1384"/>
      <c r="M15" s="1386"/>
      <c r="N15" s="1386"/>
      <c r="O15" s="35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87"/>
      <c r="AI17" s="2288" t="s">
        <v>61</v>
      </c>
      <c r="AJ17" s="2287"/>
      <c r="AK17" s="2288" t="s">
        <v>61</v>
      </c>
      <c r="AS17" s="1638">
        <v>0</v>
      </c>
    </row>
    <row customHeight="1" ht="14.25" hidden="1">
      <c r="AD18" s="1367"/>
      <c r="AE18" s="1367"/>
      <c r="AF18" s="1367"/>
      <c r="AG18" s="335" t="str">
        <f>AH17&amp;"-"&amp;AJ17</f>
        <v>-</v>
      </c>
      <c r="AH18" s="2288"/>
      <c r="AI18" s="2288"/>
      <c r="AJ18" s="2288"/>
      <c r="AK18" s="2288"/>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3"/>
      <c r="M20" s="1969"/>
      <c r="N20" s="1969"/>
      <c r="O20" s="1352" t="s">
        <v>416</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3"/>
      <c r="M21" s="1969"/>
      <c r="N21" s="1969"/>
      <c r="O21" s="1969"/>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3"/>
      <c r="M22" s="1969"/>
      <c r="N22" s="1969"/>
      <c r="O22" s="1317" t="s">
        <v>417</v>
      </c>
      <c r="P22" s="1369"/>
      <c r="Q22" s="1378"/>
      <c r="R22" s="1378"/>
      <c r="S22" s="736"/>
      <c r="T22" s="1373" t="s">
        <v>418</v>
      </c>
      <c r="AA22" s="602" t="s">
        <v>419</v>
      </c>
      <c r="AC22" s="602" t="s">
        <v>420</v>
      </c>
      <c r="AD22" s="1373" t="s">
        <v>418</v>
      </c>
      <c r="AI22" s="602" t="s">
        <v>421</v>
      </c>
      <c r="AK22" s="602" t="s">
        <v>420</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50"/>
      <c r="AS26" s="1638">
        <v>14</v>
      </c>
    </row>
    <row customHeight="1" ht="14.699999999999998">
      <c r="Q27" s="383"/>
      <c r="R27" s="383"/>
      <c r="S27" s="2269" t="str">
        <f>IF(org=0,"Не определено",org)</f>
        <v>ИМУП «ПОСЖИЛКОМСЕРВИС»</v>
      </c>
      <c r="T27" s="2269"/>
      <c r="U27" s="2269"/>
      <c r="V27" s="2269"/>
      <c r="W27" s="2269"/>
      <c r="X27" s="2269"/>
      <c r="Y27" s="2269"/>
      <c r="Z27" s="2269"/>
      <c r="AA27" s="2269"/>
      <c r="AB27" s="2269"/>
      <c r="AC27" s="2269"/>
      <c r="AD27" s="2269"/>
      <c r="AE27" s="2269"/>
      <c r="AF27" s="2269"/>
      <c r="AG27" s="2269"/>
      <c r="AH27" s="2269"/>
      <c r="AI27" s="2269"/>
      <c r="AJ27" s="2269"/>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57" customFormat="1" customHeight="1" ht="25.5" hidden="1">
      <c r="A29" s="1255"/>
      <c r="B29" s="1255"/>
      <c r="C29" s="1255"/>
      <c r="D29" s="1255"/>
      <c r="E29" s="1255"/>
      <c r="F29" s="1255"/>
      <c r="G29" s="1255"/>
      <c r="H29" s="1255"/>
      <c r="I29" s="1255"/>
      <c r="J29" s="1255"/>
      <c r="K29" s="1255"/>
      <c r="L29" s="1387"/>
      <c r="M29" s="1255"/>
      <c r="N29" s="1255"/>
      <c r="O29" s="1255"/>
      <c r="S29" s="2270" t="s">
        <v>41</v>
      </c>
      <c r="T29" s="2270"/>
      <c r="U29" s="1379"/>
      <c r="V29" s="2271" t="str">
        <f>IF(TITLE_NAME_OR_PR_CHANGE="",IF(TITLE_NAME_OR_PR="","",TITLE_NAME_OR_PR),TITLE_NAME_OR_PR_CHANGE)</f>
        <v/>
      </c>
      <c r="W29" s="2271"/>
      <c r="X29" s="2271"/>
      <c r="Y29" s="2271"/>
      <c r="Z29" s="2271"/>
      <c r="AA29" s="2271"/>
      <c r="AB29" s="2271"/>
      <c r="AC29" s="1642"/>
      <c r="AD29" s="2271" t="str">
        <f>IF(TITLE_NAME_OR_PR_CHANGE="",IF(TITLE_NAME_OR_PR="","",TITLE_NAME_OR_PR),TITLE_NAME_OR_PR_CHANGE)</f>
        <v/>
      </c>
      <c r="AE29" s="2271"/>
      <c r="AF29" s="2271"/>
      <c r="AG29" s="2271"/>
      <c r="AH29" s="2271"/>
      <c r="AI29" s="2271"/>
      <c r="AJ29" s="2271"/>
      <c r="AK29" s="1642"/>
      <c r="AL29" s="1642"/>
      <c r="AM29" s="287"/>
      <c r="AN29" s="375"/>
      <c r="AO29" s="375"/>
      <c r="AP29" s="375"/>
      <c r="AQ29" s="375"/>
      <c r="AR29" s="375"/>
      <c r="AS29" s="425">
        <v>0</v>
      </c>
    </row>
    <row s="1857" customFormat="1" customHeight="1" ht="18.75" hidden="1">
      <c r="A30" s="1255"/>
      <c r="B30" s="1255"/>
      <c r="C30" s="1255"/>
      <c r="D30" s="1255"/>
      <c r="E30" s="1255"/>
      <c r="F30" s="1255"/>
      <c r="G30" s="1255"/>
      <c r="H30" s="1255"/>
      <c r="I30" s="1255"/>
      <c r="J30" s="1255"/>
      <c r="K30" s="1255"/>
      <c r="L30" s="1387"/>
      <c r="M30" s="1255"/>
      <c r="N30" s="1255"/>
      <c r="O30" s="1255"/>
      <c r="S30" s="2270" t="s">
        <v>422</v>
      </c>
      <c r="T30" s="2270"/>
      <c r="U30" s="1379"/>
      <c r="V30" s="2284" t="str">
        <f>IF(TITLE_DATE_PR_CHANGE="",IF(TITLE_DATE_PR="","",TITLE_DATE_PR),TITLE_DATE_PR_CHANGE)</f>
        <v/>
      </c>
      <c r="W30" s="2284"/>
      <c r="X30" s="2284"/>
      <c r="Y30" s="2284"/>
      <c r="Z30" s="2284"/>
      <c r="AA30" s="2284"/>
      <c r="AB30" s="2284"/>
      <c r="AC30" s="1642"/>
      <c r="AD30" s="2284" t="str">
        <f>IF(TITLE_DATE_PR_CHANGE="",IF(TITLE_DATE_PR="","",TITLE_DATE_PR),TITLE_DATE_PR_CHANGE)</f>
        <v/>
      </c>
      <c r="AE30" s="2284"/>
      <c r="AF30" s="2284"/>
      <c r="AG30" s="2284"/>
      <c r="AH30" s="2284"/>
      <c r="AI30" s="2284"/>
      <c r="AJ30" s="2284"/>
      <c r="AK30" s="1642"/>
      <c r="AL30" s="1642"/>
      <c r="AM30" s="287"/>
      <c r="AN30" s="375"/>
      <c r="AO30" s="375"/>
      <c r="AP30" s="375"/>
      <c r="AQ30" s="375"/>
      <c r="AR30" s="375"/>
      <c r="AS30" s="425">
        <v>0</v>
      </c>
    </row>
    <row s="1857" customFormat="1" customHeight="1" ht="18.75" hidden="1">
      <c r="A31" s="1255"/>
      <c r="B31" s="1255"/>
      <c r="C31" s="1255"/>
      <c r="D31" s="1255"/>
      <c r="E31" s="1255"/>
      <c r="F31" s="1255"/>
      <c r="G31" s="1255"/>
      <c r="H31" s="1255"/>
      <c r="I31" s="1255"/>
      <c r="J31" s="1255"/>
      <c r="K31" s="1255"/>
      <c r="L31" s="1387"/>
      <c r="M31" s="1255"/>
      <c r="N31" s="1255"/>
      <c r="O31" s="1255"/>
      <c r="S31" s="2270" t="s">
        <v>423</v>
      </c>
      <c r="T31" s="2270"/>
      <c r="U31" s="1379"/>
      <c r="V31" s="2271" t="str">
        <f>IF(TITLE_NUMBER_PR_CHANGE="",IF(TITLE_NUMBER_PR="","",TITLE_NUMBER_PR),TITLE_NUMBER_PR_CHANGE)</f>
        <v/>
      </c>
      <c r="W31" s="2271"/>
      <c r="X31" s="2271"/>
      <c r="Y31" s="2271"/>
      <c r="Z31" s="2271"/>
      <c r="AA31" s="2271"/>
      <c r="AB31" s="2271"/>
      <c r="AC31" s="1642"/>
      <c r="AD31" s="2271" t="str">
        <f>IF(TITLE_NUMBER_PR_CHANGE="",IF(TITLE_NUMBER_PR="","",TITLE_NUMBER_PR),TITLE_NUMBER_PR_CHANGE)</f>
        <v/>
      </c>
      <c r="AE31" s="2271"/>
      <c r="AF31" s="2271"/>
      <c r="AG31" s="2271"/>
      <c r="AH31" s="2271"/>
      <c r="AI31" s="2271"/>
      <c r="AJ31" s="2271"/>
      <c r="AK31" s="1642"/>
      <c r="AL31" s="1642"/>
      <c r="AM31" s="287"/>
      <c r="AN31" s="375"/>
      <c r="AO31" s="375"/>
      <c r="AP31" s="375"/>
      <c r="AQ31" s="375"/>
      <c r="AR31" s="375"/>
      <c r="AS31" s="425">
        <v>0</v>
      </c>
    </row>
    <row s="1857" customFormat="1" customHeight="1" ht="18.75" hidden="1">
      <c r="A32" s="1255"/>
      <c r="B32" s="1255"/>
      <c r="C32" s="1255"/>
      <c r="D32" s="1255"/>
      <c r="E32" s="1255"/>
      <c r="F32" s="1255"/>
      <c r="G32" s="1255"/>
      <c r="H32" s="1255"/>
      <c r="I32" s="1255"/>
      <c r="J32" s="1255"/>
      <c r="K32" s="1255"/>
      <c r="L32" s="1387"/>
      <c r="M32" s="1255"/>
      <c r="N32" s="1255"/>
      <c r="O32" s="1255"/>
      <c r="S32" s="2270" t="s">
        <v>42</v>
      </c>
      <c r="T32" s="2270"/>
      <c r="U32" s="1379"/>
      <c r="V32" s="2271" t="str">
        <f>IF(TITLE_IST_PUB_CHANGE="",IF(TITLE_IST_PUB="","",TITLE_IST_PUB),TITLE_IST_PUB_CHANGE)</f>
        <v/>
      </c>
      <c r="W32" s="2271"/>
      <c r="X32" s="2271"/>
      <c r="Y32" s="2271"/>
      <c r="Z32" s="2271"/>
      <c r="AA32" s="2271"/>
      <c r="AB32" s="2271"/>
      <c r="AC32" s="1642"/>
      <c r="AD32" s="2271" t="str">
        <f>IF(TITLE_IST_PUB_CHANGE="",IF(TITLE_IST_PUB="","",TITLE_IST_PUB),TITLE_IST_PUB_CHANGE)</f>
        <v/>
      </c>
      <c r="AE32" s="2271"/>
      <c r="AF32" s="2271"/>
      <c r="AG32" s="2271"/>
      <c r="AH32" s="2271"/>
      <c r="AI32" s="2271"/>
      <c r="AJ32" s="2271"/>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57" customFormat="1" customHeight="1" ht="18.75" hidden="1">
      <c r="A34" s="1255"/>
      <c r="B34" s="1255"/>
      <c r="C34" s="1255"/>
      <c r="D34" s="1255"/>
      <c r="E34" s="1255"/>
      <c r="F34" s="1255"/>
      <c r="G34" s="1255"/>
      <c r="H34" s="1255"/>
      <c r="I34" s="1255"/>
      <c r="J34" s="1255"/>
      <c r="K34" s="1255"/>
      <c r="L34" s="1387"/>
      <c r="M34" s="1255"/>
      <c r="N34" s="1255"/>
      <c r="O34" s="1255"/>
      <c r="S34" s="2270" t="s">
        <v>424</v>
      </c>
      <c r="T34" s="2270"/>
      <c r="U34" s="1379"/>
      <c r="V34" s="2284" t="str">
        <f>IF(TITLE_DATE_PR_CHANGE="",IF(TITLE_DATE_PR="","",TITLE_DATE_PR),TITLE_DATE_PR_CHANGE)</f>
        <v/>
      </c>
      <c r="W34" s="2284"/>
      <c r="X34" s="2284"/>
      <c r="Y34" s="2284"/>
      <c r="Z34" s="2284"/>
      <c r="AA34" s="2284"/>
      <c r="AB34" s="2284"/>
      <c r="AC34" s="1642"/>
      <c r="AD34" s="2284" t="str">
        <f>IF(TITLE_DATE_PR_CHANGE="",IF(TITLE_DATE_PR="","",TITLE_DATE_PR),TITLE_DATE_PR_CHANGE)</f>
        <v/>
      </c>
      <c r="AE34" s="2284"/>
      <c r="AF34" s="2284"/>
      <c r="AG34" s="2284"/>
      <c r="AH34" s="2284"/>
      <c r="AI34" s="2284"/>
      <c r="AJ34" s="2284"/>
      <c r="AK34" s="1642"/>
      <c r="AL34" s="1642"/>
      <c r="AM34" s="287"/>
      <c r="AN34" s="375"/>
      <c r="AO34" s="375"/>
      <c r="AP34" s="375"/>
      <c r="AQ34" s="375"/>
      <c r="AR34" s="375"/>
      <c r="AS34" s="425">
        <v>0</v>
      </c>
    </row>
    <row s="1857" customFormat="1" customHeight="1" ht="18.75" hidden="1">
      <c r="A35" s="1255"/>
      <c r="B35" s="1255"/>
      <c r="C35" s="1255"/>
      <c r="D35" s="1255"/>
      <c r="E35" s="1255"/>
      <c r="F35" s="1255"/>
      <c r="G35" s="1255"/>
      <c r="H35" s="1255"/>
      <c r="I35" s="1255"/>
      <c r="J35" s="1255"/>
      <c r="K35" s="1255"/>
      <c r="L35" s="1387"/>
      <c r="M35" s="1255"/>
      <c r="N35" s="1255"/>
      <c r="O35" s="1255"/>
      <c r="S35" s="2270" t="s">
        <v>425</v>
      </c>
      <c r="T35" s="2270"/>
      <c r="U35" s="1379"/>
      <c r="V35" s="2271" t="str">
        <f>IF(TITLE_NUMBER_PR_CHANGE="",IF(TITLE_NUMBER_PR="","",TITLE_NUMBER_PR),TITLE_NUMBER_PR_CHANGE)</f>
        <v/>
      </c>
      <c r="W35" s="2271"/>
      <c r="X35" s="2271"/>
      <c r="Y35" s="2271"/>
      <c r="Z35" s="2271"/>
      <c r="AA35" s="2271"/>
      <c r="AB35" s="2271"/>
      <c r="AC35" s="1642"/>
      <c r="AD35" s="2271" t="str">
        <f>IF(TITLE_NUMBER_PR_CHANGE="",IF(TITLE_NUMBER_PR="","",TITLE_NUMBER_PR),TITLE_NUMBER_PR_CHANGE)</f>
        <v/>
      </c>
      <c r="AE35" s="2271"/>
      <c r="AF35" s="2271"/>
      <c r="AG35" s="2271"/>
      <c r="AH35" s="2271"/>
      <c r="AI35" s="2271"/>
      <c r="AJ35" s="2271"/>
      <c r="AK35" s="1642"/>
      <c r="AL35" s="1642"/>
      <c r="AM35" s="287"/>
      <c r="AN35" s="375"/>
      <c r="AO35" s="375"/>
      <c r="AP35" s="375"/>
      <c r="AQ35" s="375"/>
      <c r="AR35" s="375"/>
      <c r="AS35" s="425">
        <v>0</v>
      </c>
    </row>
    <row s="1857" customFormat="1" customHeight="1" ht="0">
      <c r="A36" s="1255"/>
      <c r="B36" s="1255"/>
      <c r="C36" s="1255"/>
      <c r="D36" s="1255"/>
      <c r="E36" s="1255"/>
      <c r="F36" s="1255"/>
      <c r="G36" s="1255"/>
      <c r="H36" s="1255"/>
      <c r="I36" s="1255"/>
      <c r="J36" s="1255"/>
      <c r="K36" s="1255"/>
      <c r="L36" s="1387"/>
      <c r="M36" s="1255"/>
      <c r="N36" s="1255"/>
      <c r="O36" s="1255"/>
      <c r="S36" s="1642"/>
      <c r="T36" s="1642"/>
      <c r="U36" s="1974"/>
      <c r="V36" s="1642"/>
      <c r="W36" s="1642"/>
      <c r="X36" s="1642"/>
      <c r="Y36" s="1642"/>
      <c r="Z36" s="1642"/>
      <c r="AA36" s="1642"/>
      <c r="AB36" s="1642"/>
      <c r="AC36" s="1649" t="s">
        <v>426</v>
      </c>
      <c r="AD36" s="1642"/>
      <c r="AE36" s="1642"/>
      <c r="AF36" s="1642"/>
      <c r="AG36" s="1642"/>
      <c r="AH36" s="1642"/>
      <c r="AI36" s="1642"/>
      <c r="AJ36" s="1642"/>
      <c r="AK36" s="1649" t="s">
        <v>426</v>
      </c>
      <c r="AN36" s="375"/>
      <c r="AO36" s="375"/>
      <c r="AP36" s="375"/>
      <c r="AQ36" s="375"/>
      <c r="AR36" s="375"/>
      <c r="AS36" s="425">
        <v>0</v>
      </c>
    </row>
    <row customHeight="1" ht="14.699999999999998">
      <c r="Q37" s="383"/>
      <c r="R37" s="383"/>
      <c r="S37" s="1282"/>
      <c r="T37" s="464"/>
      <c r="U37" s="1251"/>
      <c r="V37" s="2272"/>
      <c r="W37" s="2272"/>
      <c r="X37" s="2272"/>
      <c r="Y37" s="2272"/>
      <c r="Z37" s="2272"/>
      <c r="AA37" s="2272"/>
      <c r="AB37" s="2272"/>
      <c r="AC37" s="2272"/>
      <c r="AD37" s="2272"/>
      <c r="AE37" s="2272"/>
      <c r="AF37" s="2272"/>
      <c r="AG37" s="2272"/>
      <c r="AH37" s="2272"/>
      <c r="AI37" s="2272"/>
      <c r="AJ37" s="2272"/>
      <c r="AK37" s="2272"/>
      <c r="AS37" s="1638">
        <v>14</v>
      </c>
    </row>
    <row customHeight="1" ht="14.699999999999998">
      <c r="Q38" s="383"/>
      <c r="R38" s="383"/>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638">
        <v>14</v>
      </c>
    </row>
    <row customHeight="1" ht="14.699999999999998">
      <c r="Q39" s="383"/>
      <c r="R39" s="383"/>
      <c r="S39" s="2293" t="s">
        <v>87</v>
      </c>
      <c r="T39" s="2229" t="s">
        <v>427</v>
      </c>
      <c r="U39" s="344"/>
      <c r="V39" s="2294" t="s">
        <v>428</v>
      </c>
      <c r="W39" s="2295"/>
      <c r="X39" s="2295"/>
      <c r="Y39" s="2295"/>
      <c r="Z39" s="2295"/>
      <c r="AA39" s="2295"/>
      <c r="AB39" s="2296"/>
      <c r="AC39" s="2297" t="s">
        <v>429</v>
      </c>
      <c r="AD39" s="2294" t="s">
        <v>428</v>
      </c>
      <c r="AE39" s="2295"/>
      <c r="AF39" s="2295"/>
      <c r="AG39" s="2295"/>
      <c r="AH39" s="2295"/>
      <c r="AI39" s="2295"/>
      <c r="AJ39" s="2296"/>
      <c r="AK39" s="2297" t="s">
        <v>430</v>
      </c>
      <c r="AL39" s="2300" t="s">
        <v>431</v>
      </c>
      <c r="AM39" s="2147"/>
      <c r="AS39" s="1638">
        <v>14</v>
      </c>
    </row>
    <row customHeight="1" ht="35.699999999999996">
      <c r="Q40" s="383"/>
      <c r="R40" s="383"/>
      <c r="S40" s="2293"/>
      <c r="T40" s="2229"/>
      <c r="U40" s="1038"/>
      <c r="V40" s="2280" t="s">
        <v>432</v>
      </c>
      <c r="W40" s="2303" t="s">
        <v>433</v>
      </c>
      <c r="X40" s="2282" t="s">
        <v>434</v>
      </c>
      <c r="Y40" s="2283"/>
      <c r="Z40" s="2282" t="s">
        <v>448</v>
      </c>
      <c r="AA40" s="2289"/>
      <c r="AB40" s="2283"/>
      <c r="AC40" s="2298"/>
      <c r="AD40" s="2280" t="s">
        <v>432</v>
      </c>
      <c r="AE40" s="2303" t="s">
        <v>433</v>
      </c>
      <c r="AF40" s="2282" t="s">
        <v>434</v>
      </c>
      <c r="AG40" s="2283"/>
      <c r="AH40" s="2282" t="s">
        <v>435</v>
      </c>
      <c r="AI40" s="2289"/>
      <c r="AJ40" s="2283"/>
      <c r="AK40" s="2298"/>
      <c r="AL40" s="2301"/>
      <c r="AM40" s="2147"/>
      <c r="AS40" s="1638">
        <v>34</v>
      </c>
    </row>
    <row customHeight="1" ht="35.699999999999996">
      <c r="A41" s="1273"/>
      <c r="B41" s="1273" t="s">
        <v>136</v>
      </c>
      <c r="C41" s="1273" t="s">
        <v>137</v>
      </c>
      <c r="D41" s="1273" t="s">
        <v>138</v>
      </c>
      <c r="E41" s="1317" t="s">
        <v>436</v>
      </c>
      <c r="F41" s="1317" t="s">
        <v>437</v>
      </c>
      <c r="G41" s="1317" t="s">
        <v>438</v>
      </c>
      <c r="H41" s="1317" t="s">
        <v>439</v>
      </c>
      <c r="I41" s="1317" t="s">
        <v>440</v>
      </c>
      <c r="J41" s="1317" t="s">
        <v>441</v>
      </c>
      <c r="K41" s="1317" t="s">
        <v>442</v>
      </c>
      <c r="L41" s="1317" t="s">
        <v>417</v>
      </c>
      <c r="Q41" s="383"/>
      <c r="R41" s="383"/>
      <c r="S41" s="2293"/>
      <c r="T41" s="2229"/>
      <c r="U41" s="309"/>
      <c r="V41" s="2281"/>
      <c r="W41" s="2304"/>
      <c r="X41" s="1942" t="s">
        <v>443</v>
      </c>
      <c r="Y41" s="1942" t="s">
        <v>444</v>
      </c>
      <c r="Z41" s="1942" t="s">
        <v>445</v>
      </c>
      <c r="AA41" s="2290" t="s">
        <v>446</v>
      </c>
      <c r="AB41" s="2291"/>
      <c r="AC41" s="2299"/>
      <c r="AD41" s="2281"/>
      <c r="AE41" s="2304"/>
      <c r="AF41" s="1942" t="s">
        <v>443</v>
      </c>
      <c r="AG41" s="1942" t="s">
        <v>444</v>
      </c>
      <c r="AH41" s="1942" t="s">
        <v>445</v>
      </c>
      <c r="AI41" s="2290" t="s">
        <v>446</v>
      </c>
      <c r="AJ41" s="2291"/>
      <c r="AK41" s="2299"/>
      <c r="AL41" s="2302"/>
      <c r="AM41" s="2147"/>
      <c r="AS41" s="1638">
        <v>34</v>
      </c>
    </row>
    <row s="1648" customFormat="1" customHeight="1" ht="11.25" hidden="1">
      <c r="A42" s="1273"/>
      <c r="B42" s="1273"/>
      <c r="C42" s="1273"/>
      <c r="D42" s="1273"/>
      <c r="E42" s="1273"/>
      <c r="F42" s="1273"/>
      <c r="G42" s="1273"/>
      <c r="H42" s="1273"/>
      <c r="I42" s="1273"/>
      <c r="J42" s="1273"/>
      <c r="K42" s="1273"/>
      <c r="L42" s="1317"/>
      <c r="M42" s="1969"/>
      <c r="N42" s="1969"/>
      <c r="O42" s="1969"/>
      <c r="P42" s="1253"/>
      <c r="Q42" s="1254"/>
      <c r="R42" s="1261">
        <v>1</v>
      </c>
      <c r="S42" s="1284" t="s">
        <v>109</v>
      </c>
      <c r="T42" s="1262" t="s">
        <v>110</v>
      </c>
      <c r="U42" s="1252" t="str">
        <f>OFFSET(U42,0,-1)</f>
        <v>2</v>
      </c>
      <c r="V42" s="1960">
        <f>OFFSET(V42,0,-1)+1</f>
        <v>3</v>
      </c>
      <c r="W42" s="1960"/>
      <c r="X42" s="1960">
        <f>OFFSET(X42,0,-1)+1</f>
        <v>1</v>
      </c>
      <c r="Y42" s="1960">
        <f>OFFSET(Y42,0,-1)+1</f>
        <v>2</v>
      </c>
      <c r="Z42" s="1960">
        <f>OFFSET(Z42,0,-1)+1</f>
        <v>3</v>
      </c>
      <c r="AA42" s="2292">
        <f>OFFSET(AA42,0,-1)+1</f>
        <v>4</v>
      </c>
      <c r="AB42" s="2292"/>
      <c r="AC42" s="1960">
        <f>OFFSET(AC42,0,-2)+1</f>
        <v>5</v>
      </c>
      <c r="AD42" s="1960">
        <f>OFFSET(AD42,0,-1)+1</f>
        <v>6</v>
      </c>
      <c r="AE42" s="1960"/>
      <c r="AF42" s="1960">
        <f>OFFSET(AF42,0,-1)+1</f>
        <v>1</v>
      </c>
      <c r="AG42" s="1960">
        <f>OFFSET(AG42,0,-1)+1</f>
        <v>2</v>
      </c>
      <c r="AH42" s="1960">
        <f>OFFSET(AH42,0,-1)+1</f>
        <v>3</v>
      </c>
      <c r="AI42" s="2292">
        <f>OFFSET(AI42,0,-1)+1</f>
        <v>4</v>
      </c>
      <c r="AJ42" s="2292"/>
      <c r="AK42" s="1960">
        <f>OFFSET(AK42,0,-2)+1</f>
        <v>5</v>
      </c>
      <c r="AL42" s="1252">
        <f>OFFSET(AL42,0,-1)</f>
        <v>5</v>
      </c>
      <c r="AM42" s="1960">
        <f>OFFSET(AM42,0,-1)+1</f>
        <v>6</v>
      </c>
      <c r="AN42" s="1643"/>
      <c r="AO42" s="1643"/>
      <c r="AP42" s="1643"/>
      <c r="AQ42" s="1643"/>
      <c r="AR42" s="1643"/>
      <c r="AS42" s="1648">
        <v>0</v>
      </c>
    </row>
    <row customHeight="1" ht="22.049999999999997">
      <c r="A43" s="1274" t="s">
        <v>211</v>
      </c>
      <c r="B43" s="1274"/>
      <c r="C43" s="1274"/>
      <c r="D43" s="1274"/>
      <c r="E43" s="2309">
        <v>1</v>
      </c>
      <c r="F43" s="1274"/>
      <c r="G43" s="1274"/>
      <c r="H43" s="1274"/>
      <c r="I43" s="1274"/>
      <c r="J43" s="1274"/>
      <c r="K43" s="1274"/>
      <c r="L43" s="1317"/>
      <c r="M43" s="1617"/>
      <c r="N43" s="1617"/>
      <c r="O43" s="1617"/>
      <c r="P43" s="1597"/>
      <c r="Q43" s="367"/>
      <c r="R43" s="362"/>
      <c r="S43" s="1962">
        <f>INDEX(PT_DIFFERENTIATION_NUM_NTAR,MATCH(A43,PT_DIFFERENTIATION_NTAR_ID,0))</f>
        <v>0</v>
      </c>
      <c r="T43" s="1532" t="s">
        <v>124</v>
      </c>
      <c r="U43" s="307"/>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211</v>
      </c>
      <c r="B44" s="1274" t="s">
        <v>212</v>
      </c>
      <c r="C44" s="1274"/>
      <c r="D44" s="1274"/>
      <c r="E44" s="2310"/>
      <c r="F44" s="2309">
        <v>1</v>
      </c>
      <c r="G44" s="1274"/>
      <c r="H44" s="1274"/>
      <c r="I44" s="1274"/>
      <c r="J44" s="1274"/>
      <c r="K44" s="1274"/>
      <c r="L44" s="1317"/>
      <c r="M44" s="1617"/>
      <c r="N44" s="1617"/>
      <c r="O44" s="1617"/>
      <c r="P44" s="1944"/>
      <c r="Q44" s="359"/>
      <c r="R44" s="360"/>
      <c r="S44" s="1962" t="str">
        <f>INDEX(PT_DIFFERENTIATION_NUM_TER,MATCH(B44,PT_DIFFERENTIATION_TER_ID,0))</f>
        <v>.</v>
      </c>
      <c r="T44" s="1529" t="s">
        <v>396</v>
      </c>
      <c r="U44" s="307"/>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65" t="s">
        <v>397</v>
      </c>
      <c r="AO44" s="1631"/>
      <c r="AP44" s="1631" t="str">
        <f>IF(T44="","",T44)</f>
        <v>Территория действия тарифа</v>
      </c>
      <c r="AQ44" s="1631"/>
      <c r="AR44" s="1631"/>
      <c r="AS44" s="1638">
        <v>21</v>
      </c>
    </row>
    <row customHeight="1" ht="24">
      <c r="A45" s="1274" t="s">
        <v>211</v>
      </c>
      <c r="B45" s="1274" t="s">
        <v>212</v>
      </c>
      <c r="C45" s="1274" t="s">
        <v>213</v>
      </c>
      <c r="D45" s="1274"/>
      <c r="E45" s="2310"/>
      <c r="F45" s="2310"/>
      <c r="G45" s="2309">
        <v>1</v>
      </c>
      <c r="H45" s="1274"/>
      <c r="I45" s="1274"/>
      <c r="J45" s="1274"/>
      <c r="K45" s="1274"/>
      <c r="L45" s="1317"/>
      <c r="M45" s="1617"/>
      <c r="N45" s="1617"/>
      <c r="O45" s="1617"/>
      <c r="P45" s="361"/>
      <c r="Q45" s="359"/>
      <c r="R45" s="360"/>
      <c r="S45" s="1962" t="str">
        <f>INDEX(PT_DIFFERENTIATION_NUM_CS,MATCH(C45,PT_DIFFERENTIATION_CS_ID,0))</f>
        <v>..</v>
      </c>
      <c r="T45" s="316" t="s">
        <v>398</v>
      </c>
      <c r="U45" s="307"/>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65" t="s">
        <v>399</v>
      </c>
      <c r="AO45" s="1631"/>
      <c r="AP45" s="1631" t="str">
        <f>IF(T45="","",T45)</f>
        <v>Наименование системы теплоснабжения </v>
      </c>
      <c r="AQ45" s="1631"/>
      <c r="AR45" s="1631"/>
      <c r="AS45" s="1638">
        <v>23</v>
      </c>
    </row>
    <row customHeight="1" ht="22.049999999999997">
      <c r="A46" s="1274" t="s">
        <v>211</v>
      </c>
      <c r="B46" s="1274" t="s">
        <v>212</v>
      </c>
      <c r="C46" s="1274" t="s">
        <v>213</v>
      </c>
      <c r="D46" s="1274" t="s">
        <v>214</v>
      </c>
      <c r="E46" s="2310"/>
      <c r="F46" s="2310"/>
      <c r="G46" s="2310"/>
      <c r="H46" s="2309">
        <v>1</v>
      </c>
      <c r="I46" s="1274"/>
      <c r="J46" s="1274"/>
      <c r="K46" s="1274"/>
      <c r="L46" s="1317"/>
      <c r="M46" s="1617"/>
      <c r="N46" s="1617"/>
      <c r="O46" s="1617"/>
      <c r="P46" s="361"/>
      <c r="Q46" s="359"/>
      <c r="R46" s="360"/>
      <c r="S46" s="1962" t="str">
        <f>INDEX(PT_DIFFERENTIATION_NUM_IST_TE,MATCH(D46,PT_DIFFERENTIATION_IST_TE_ID,0))</f>
        <v>...</v>
      </c>
      <c r="T46" s="317" t="s">
        <v>400</v>
      </c>
      <c r="U46" s="307"/>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65" t="s">
        <v>401</v>
      </c>
      <c r="AO46" s="1631"/>
      <c r="AP46" s="1631" t="str">
        <f>IF(T46="","",T46)</f>
        <v>Источник тепловой энергии  </v>
      </c>
      <c r="AQ46" s="1631"/>
      <c r="AR46" s="1631"/>
      <c r="AS46" s="1638">
        <v>21</v>
      </c>
    </row>
    <row customHeight="1" ht="49.5">
      <c r="A47" s="1274" t="s">
        <v>211</v>
      </c>
      <c r="B47" s="1274" t="s">
        <v>212</v>
      </c>
      <c r="C47" s="1274" t="s">
        <v>213</v>
      </c>
      <c r="D47" s="1274" t="s">
        <v>214</v>
      </c>
      <c r="E47" s="2310"/>
      <c r="F47" s="2310"/>
      <c r="G47" s="2310"/>
      <c r="H47" s="2310"/>
      <c r="I47" s="2147" t="str">
        <f>S46&amp;".1"</f>
        <v>....1</v>
      </c>
      <c r="J47" s="1274"/>
      <c r="K47" s="1274"/>
      <c r="L47" s="1317" t="s">
        <v>402</v>
      </c>
      <c r="P47" s="2277">
        <v>1</v>
      </c>
      <c r="Q47" s="1958"/>
      <c r="R47" s="363"/>
      <c r="S47" s="1962" t="str">
        <f>$I47</f>
        <v>....1</v>
      </c>
      <c r="T47" s="292" t="s">
        <v>403</v>
      </c>
      <c r="U47" s="307"/>
      <c r="V47" s="2265"/>
      <c r="W47" s="2266"/>
      <c r="X47" s="2266"/>
      <c r="Y47" s="2266"/>
      <c r="Z47" s="2266"/>
      <c r="AA47" s="2266"/>
      <c r="AB47" s="2266"/>
      <c r="AC47" s="2267"/>
      <c r="AD47" s="2265"/>
      <c r="AE47" s="2266"/>
      <c r="AF47" s="2266"/>
      <c r="AG47" s="2266"/>
      <c r="AH47" s="2266"/>
      <c r="AI47" s="2266"/>
      <c r="AJ47" s="2266"/>
      <c r="AK47" s="2266"/>
      <c r="AL47" s="2267"/>
      <c r="AM47" s="1265" t="s">
        <v>404</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211</v>
      </c>
      <c r="B48" s="1274" t="s">
        <v>212</v>
      </c>
      <c r="C48" s="1274" t="s">
        <v>213</v>
      </c>
      <c r="D48" s="1274" t="s">
        <v>214</v>
      </c>
      <c r="E48" s="2310"/>
      <c r="F48" s="2310"/>
      <c r="G48" s="2310"/>
      <c r="H48" s="2310"/>
      <c r="I48" s="2121"/>
      <c r="J48" s="2147" t="str">
        <f>I47&amp;".1"</f>
        <v>....1.1</v>
      </c>
      <c r="K48" s="1274"/>
      <c r="L48" s="1317" t="s">
        <v>405</v>
      </c>
      <c r="P48" s="2277"/>
      <c r="Q48" s="2277">
        <v>1</v>
      </c>
      <c r="R48" s="364"/>
      <c r="S48" s="1962" t="str">
        <f>$J48</f>
        <v>....1.1</v>
      </c>
      <c r="T48" s="293" t="s">
        <v>406</v>
      </c>
      <c r="U48" s="307"/>
      <c r="V48" s="2265"/>
      <c r="W48" s="2266"/>
      <c r="X48" s="2266"/>
      <c r="Y48" s="2266"/>
      <c r="Z48" s="2266"/>
      <c r="AA48" s="2266"/>
      <c r="AB48" s="2266"/>
      <c r="AC48" s="2267"/>
      <c r="AD48" s="2265"/>
      <c r="AE48" s="2266"/>
      <c r="AF48" s="2266"/>
      <c r="AG48" s="2266"/>
      <c r="AH48" s="2266"/>
      <c r="AI48" s="2266"/>
      <c r="AJ48" s="2266"/>
      <c r="AK48" s="2266"/>
      <c r="AL48" s="2267"/>
      <c r="AM48" s="1265" t="s">
        <v>407</v>
      </c>
      <c r="AO48" s="1631"/>
      <c r="AP48" s="1631" t="str">
        <f>IF(T48="","",T48)</f>
        <v>Группа потребителей</v>
      </c>
      <c r="AQ48" s="1631"/>
      <c r="AR48" s="1631"/>
      <c r="AS48" s="1638">
        <v>21</v>
      </c>
    </row>
    <row customHeight="1" ht="22.049999999999997">
      <c r="A49" s="1274" t="s">
        <v>211</v>
      </c>
      <c r="B49" s="1274" t="s">
        <v>212</v>
      </c>
      <c r="C49" s="1274" t="s">
        <v>213</v>
      </c>
      <c r="D49" s="1274" t="s">
        <v>214</v>
      </c>
      <c r="E49" s="2310"/>
      <c r="F49" s="2310"/>
      <c r="G49" s="2310"/>
      <c r="H49" s="2310"/>
      <c r="I49" s="2121"/>
      <c r="J49" s="2121"/>
      <c r="K49" s="2147" t="str">
        <f>J48&amp;".1"</f>
        <v>....1.1.1</v>
      </c>
      <c r="L49" s="1317" t="s">
        <v>408</v>
      </c>
      <c r="P49" s="2277"/>
      <c r="Q49" s="2277"/>
      <c r="R49" s="364">
        <v>1</v>
      </c>
      <c r="S49" s="1962" t="str">
        <f>$K49</f>
        <v>....1.1.1</v>
      </c>
      <c r="T49" s="1354"/>
      <c r="U49" s="307"/>
      <c r="V49" s="758"/>
      <c r="W49" s="332"/>
      <c r="X49" s="758"/>
      <c r="Y49" s="1264"/>
      <c r="Z49" s="2285"/>
      <c r="AA49" s="2127" t="s">
        <v>61</v>
      </c>
      <c r="AB49" s="2285"/>
      <c r="AC49" s="2127" t="s">
        <v>61</v>
      </c>
      <c r="AD49" s="758"/>
      <c r="AE49" s="332"/>
      <c r="AF49" s="758"/>
      <c r="AG49" s="1264"/>
      <c r="AH49" s="2285"/>
      <c r="AI49" s="2127" t="s">
        <v>61</v>
      </c>
      <c r="AJ49" s="2307"/>
      <c r="AK49" s="2127" t="s">
        <v>61</v>
      </c>
      <c r="AL49" s="1355"/>
      <c r="AM49" s="2273" t="s">
        <v>409</v>
      </c>
      <c r="AN49" s="1643">
        <f>STRCHECKDATE(V50:AL50)</f>
      </c>
      <c r="AO49" s="1631"/>
      <c r="AP49" s="1631" t="str">
        <f>IF(T49="","",T49)</f>
        <v/>
      </c>
      <c r="AQ49" s="1631"/>
      <c r="AR49" s="1631"/>
      <c r="AS49" s="1638">
        <v>21</v>
      </c>
    </row>
    <row customHeight="1" ht="1.05">
      <c r="A50" s="1274" t="s">
        <v>211</v>
      </c>
      <c r="B50" s="1274" t="s">
        <v>212</v>
      </c>
      <c r="C50" s="1274" t="s">
        <v>213</v>
      </c>
      <c r="D50" s="1274" t="s">
        <v>214</v>
      </c>
      <c r="E50" s="2310"/>
      <c r="F50" s="2310"/>
      <c r="G50" s="2310"/>
      <c r="H50" s="2310"/>
      <c r="I50" s="2121"/>
      <c r="J50" s="2121"/>
      <c r="K50" s="2147"/>
      <c r="L50" s="1317"/>
      <c r="P50" s="2277"/>
      <c r="Q50" s="2277"/>
      <c r="R50" s="364"/>
      <c r="S50" s="1971"/>
      <c r="T50" s="307"/>
      <c r="U50" s="307"/>
      <c r="V50" s="332"/>
      <c r="W50" s="332"/>
      <c r="X50" s="332"/>
      <c r="Y50" s="335" t="str">
        <f>Z49&amp;"-"&amp;AB49</f>
        <v>-</v>
      </c>
      <c r="Z50" s="2286"/>
      <c r="AA50" s="2127"/>
      <c r="AB50" s="2286"/>
      <c r="AC50" s="2127"/>
      <c r="AD50" s="332"/>
      <c r="AE50" s="332"/>
      <c r="AF50" s="332"/>
      <c r="AG50" s="335" t="str">
        <f>AH49&amp;"-"&amp;AJ49</f>
        <v>-</v>
      </c>
      <c r="AH50" s="2286"/>
      <c r="AI50" s="2127"/>
      <c r="AJ50" s="2308"/>
      <c r="AK50" s="2127"/>
      <c r="AL50" s="1356"/>
      <c r="AM50" s="2274"/>
      <c r="AO50" s="1631"/>
      <c r="AP50" s="1631" t="str">
        <f>IF(T50="","",T50)</f>
        <v/>
      </c>
      <c r="AQ50" s="1631"/>
      <c r="AR50" s="1631"/>
      <c r="AS50" s="1638">
        <v>1</v>
      </c>
    </row>
    <row customHeight="1" ht="11.549999999999999">
      <c r="A51" s="1274" t="s">
        <v>211</v>
      </c>
      <c r="B51" s="1274" t="s">
        <v>212</v>
      </c>
      <c r="C51" s="1274" t="s">
        <v>213</v>
      </c>
      <c r="D51" s="1274" t="s">
        <v>214</v>
      </c>
      <c r="E51" s="2310"/>
      <c r="F51" s="2310"/>
      <c r="G51" s="2310"/>
      <c r="H51" s="2310"/>
      <c r="I51" s="2121"/>
      <c r="J51" s="2147"/>
      <c r="K51" s="1274"/>
      <c r="L51" s="1317"/>
      <c r="P51" s="2277"/>
      <c r="Q51" s="2277"/>
      <c r="R51" s="363"/>
      <c r="S51" s="1285"/>
      <c r="T51" s="295" t="s">
        <v>410</v>
      </c>
      <c r="U51" s="607"/>
      <c r="V51" s="607"/>
      <c r="W51" s="607"/>
      <c r="X51" s="607"/>
      <c r="Y51" s="607"/>
      <c r="Z51" s="607"/>
      <c r="AA51" s="607"/>
      <c r="AB51" s="607"/>
      <c r="AC51" s="607"/>
      <c r="AD51" s="607"/>
      <c r="AE51" s="607"/>
      <c r="AF51" s="607"/>
      <c r="AG51" s="607"/>
      <c r="AH51" s="607"/>
      <c r="AI51" s="607"/>
      <c r="AJ51" s="607"/>
      <c r="AK51" s="607"/>
      <c r="AL51" s="331"/>
      <c r="AM51" s="2275"/>
      <c r="AO51" s="1631"/>
      <c r="AP51" s="1631" t="str">
        <f>IF(T51="","",T51)</f>
        <v>Добавить вид теплоносителя (параметры теплоносителя)</v>
      </c>
      <c r="AQ51" s="1631"/>
      <c r="AR51" s="1631"/>
      <c r="AS51" s="1638">
        <v>11</v>
      </c>
    </row>
    <row customHeight="1" ht="11.549999999999999">
      <c r="A52" s="1274" t="s">
        <v>211</v>
      </c>
      <c r="B52" s="1274" t="s">
        <v>212</v>
      </c>
      <c r="C52" s="1274" t="s">
        <v>213</v>
      </c>
      <c r="D52" s="1274" t="s">
        <v>214</v>
      </c>
      <c r="E52" s="2310"/>
      <c r="F52" s="2310"/>
      <c r="G52" s="2310"/>
      <c r="H52" s="2310"/>
      <c r="I52" s="2147"/>
      <c r="J52" s="1274"/>
      <c r="K52" s="1274"/>
      <c r="L52" s="1317"/>
      <c r="P52" s="2277"/>
      <c r="Q52" s="1958"/>
      <c r="R52" s="363"/>
      <c r="S52" s="1285"/>
      <c r="T52" s="294" t="s">
        <v>411</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211</v>
      </c>
      <c r="B53" s="1274" t="s">
        <v>212</v>
      </c>
      <c r="C53" s="1274" t="s">
        <v>213</v>
      </c>
      <c r="D53" s="1274" t="s">
        <v>214</v>
      </c>
      <c r="E53" s="2310"/>
      <c r="F53" s="2310"/>
      <c r="G53" s="2310"/>
      <c r="H53" s="2309"/>
      <c r="I53" s="1274"/>
      <c r="J53" s="1274"/>
      <c r="K53" s="1274"/>
      <c r="L53" s="1317"/>
      <c r="M53" s="1617"/>
      <c r="N53" s="1617"/>
      <c r="O53" s="1642"/>
      <c r="P53" s="367"/>
      <c r="Q53" s="382"/>
      <c r="R53" s="362"/>
      <c r="S53" s="1285"/>
      <c r="T53" s="372" t="s">
        <v>412</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211</v>
      </c>
      <c r="B54" s="1382" t="s">
        <v>212</v>
      </c>
      <c r="C54" s="1382" t="s">
        <v>213</v>
      </c>
      <c r="D54" s="1381"/>
      <c r="E54" s="2310"/>
      <c r="F54" s="2310"/>
      <c r="G54" s="2309"/>
      <c r="H54" s="1381"/>
      <c r="I54" s="1381"/>
      <c r="J54" s="1381"/>
      <c r="K54" s="1381"/>
      <c r="L54" s="1384"/>
      <c r="M54" s="1385"/>
      <c r="N54" s="1385"/>
      <c r="O54" s="358"/>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211</v>
      </c>
      <c r="B55" s="1382" t="s">
        <v>212</v>
      </c>
      <c r="C55" s="1381"/>
      <c r="D55" s="1381"/>
      <c r="E55" s="2310"/>
      <c r="F55" s="2309"/>
      <c r="G55" s="1381"/>
      <c r="H55" s="1381"/>
      <c r="I55" s="1381"/>
      <c r="J55" s="1381"/>
      <c r="K55" s="1381"/>
      <c r="L55" s="1384"/>
      <c r="M55" s="1386"/>
      <c r="N55" s="1386"/>
      <c r="O55" s="35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211</v>
      </c>
      <c r="B56" s="1382"/>
      <c r="C56" s="1382"/>
      <c r="D56" s="1382"/>
      <c r="E56" s="2309"/>
      <c r="F56" s="1382"/>
      <c r="G56" s="1382"/>
      <c r="H56" s="1382"/>
      <c r="I56" s="1382"/>
      <c r="J56" s="1382"/>
      <c r="K56" s="1382"/>
      <c r="L56" s="1388"/>
      <c r="M56" s="1386"/>
      <c r="N56" s="1386"/>
      <c r="O56" s="358"/>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447</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8">
        <v>27</v>
      </c>
    </row>
    <row customHeight="1" ht="65.25">
      <c r="O60" s="1642"/>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8">
        <v>62</v>
      </c>
    </row>
    <row customHeight="1" ht="14.699999999999998">
      <c r="O61" s="1642"/>
      <c r="AS61" s="1638">
        <v>14</v>
      </c>
    </row>
    <row customHeight="1" ht="18.75">
      <c r="O62" s="1642"/>
      <c r="S62" s="1260"/>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8">
        <v>18</v>
      </c>
    </row>
    <row customHeight="1" ht="18.75">
      <c r="O63" s="1642"/>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8">
        <v>18</v>
      </c>
    </row>
    <row customHeight="1" ht="29.25">
      <c r="O64" s="1642"/>
      <c r="S64" s="1260"/>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3">
        <v>0</v>
      </c>
      <c r="M65" s="1969">
        <v>0</v>
      </c>
      <c r="N65" s="1969">
        <v>0</v>
      </c>
      <c r="O65" s="1969">
        <v>0</v>
      </c>
      <c r="P65" s="1969">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3A099-7D2B-DDD5-3169-0.10A5D4C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51" width="3.00390625" customWidth="1"/>
    <col min="19" max="19" style="2427"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309">
        <v>1</v>
      </c>
      <c r="F2" s="1274"/>
      <c r="G2" s="1274"/>
      <c r="H2" s="1274"/>
      <c r="I2" s="1274"/>
      <c r="J2" s="1274"/>
      <c r="K2" s="1274"/>
      <c r="L2" s="1317"/>
      <c r="M2" s="1617"/>
      <c r="N2" s="1617"/>
      <c r="O2" s="1617"/>
      <c r="P2" s="1597"/>
      <c r="Q2" s="367"/>
      <c r="R2" s="362"/>
      <c r="S2" s="1962">
        <f>INDEX(PT_DIFFERENTIATION_NUM_NTAR,MATCH(A2,PT_DIFFERENTIATION_NTAR_ID,0))</f>
      </c>
      <c r="T2" s="1532" t="s">
        <v>124</v>
      </c>
      <c r="U2" s="307"/>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65" t="s">
        <v>395</v>
      </c>
      <c r="AO2" s="1631"/>
      <c r="AP2" s="1631" t="str">
        <f>IF(T2="","",T2)</f>
        <v>Наименование тарифа</v>
      </c>
      <c r="AQ2" s="1631"/>
      <c r="AR2" s="1631"/>
      <c r="AS2" s="1638">
        <v>0</v>
      </c>
    </row>
    <row customHeight="1" ht="21" hidden="1">
      <c r="A3" s="1274"/>
      <c r="B3" s="1274"/>
      <c r="C3" s="1274"/>
      <c r="D3" s="1274"/>
      <c r="E3" s="2310"/>
      <c r="F3" s="2309">
        <v>1</v>
      </c>
      <c r="G3" s="1274"/>
      <c r="H3" s="1274"/>
      <c r="I3" s="1274"/>
      <c r="J3" s="1274"/>
      <c r="K3" s="1274"/>
      <c r="L3" s="1317"/>
      <c r="M3" s="1617"/>
      <c r="N3" s="1617"/>
      <c r="O3" s="1617"/>
      <c r="P3" s="1944"/>
      <c r="Q3" s="359"/>
      <c r="R3" s="360"/>
      <c r="S3" s="1962">
        <f>INDEX(PT_DIFFERENTIATION_NUM_TER,MATCH(B3,PT_DIFFERENTIATION_TER_ID,0))</f>
      </c>
      <c r="T3" s="1529" t="s">
        <v>396</v>
      </c>
      <c r="U3" s="307"/>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65" t="s">
        <v>397</v>
      </c>
      <c r="AO3" s="1631"/>
      <c r="AP3" s="1631" t="str">
        <f>IF(T3="","",T3)</f>
        <v>Территория действия тарифа</v>
      </c>
      <c r="AQ3" s="1631"/>
      <c r="AR3" s="1631"/>
      <c r="AS3" s="1638">
        <v>0</v>
      </c>
    </row>
    <row customHeight="1" ht="23.25" hidden="1">
      <c r="A4" s="1274"/>
      <c r="B4" s="1274"/>
      <c r="C4" s="1274"/>
      <c r="D4" s="1274"/>
      <c r="E4" s="2310"/>
      <c r="F4" s="2310"/>
      <c r="G4" s="2309">
        <v>1</v>
      </c>
      <c r="H4" s="1274"/>
      <c r="I4" s="1274"/>
      <c r="J4" s="1274"/>
      <c r="K4" s="1274"/>
      <c r="L4" s="1317"/>
      <c r="M4" s="1617"/>
      <c r="N4" s="1617"/>
      <c r="O4" s="1617"/>
      <c r="P4" s="361"/>
      <c r="Q4" s="359"/>
      <c r="R4" s="360"/>
      <c r="S4" s="1962">
        <f>INDEX(PT_DIFFERENTIATION_NUM_CS,MATCH(C4,PT_DIFFERENTIATION_CS_ID,0))</f>
      </c>
      <c r="T4" s="316" t="s">
        <v>398</v>
      </c>
      <c r="U4" s="307"/>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65" t="s">
        <v>399</v>
      </c>
      <c r="AO4" s="1631"/>
      <c r="AP4" s="1631" t="str">
        <f>IF(T4="","",T4)</f>
        <v>Наименование системы теплоснабжения </v>
      </c>
      <c r="AQ4" s="1631"/>
      <c r="AR4" s="1631"/>
      <c r="AS4" s="1638">
        <v>0</v>
      </c>
    </row>
    <row customHeight="1" ht="21" hidden="1">
      <c r="A5" s="1274"/>
      <c r="B5" s="1274"/>
      <c r="C5" s="1274"/>
      <c r="D5" s="1274"/>
      <c r="E5" s="2310"/>
      <c r="F5" s="2310"/>
      <c r="G5" s="2310"/>
      <c r="H5" s="2309">
        <v>1</v>
      </c>
      <c r="I5" s="1274"/>
      <c r="J5" s="1274"/>
      <c r="K5" s="1274"/>
      <c r="L5" s="1317"/>
      <c r="M5" s="1617"/>
      <c r="N5" s="1617"/>
      <c r="O5" s="1617"/>
      <c r="P5" s="361"/>
      <c r="Q5" s="359"/>
      <c r="R5" s="360"/>
      <c r="S5" s="1962">
        <f>INDEX(PT_DIFFERENTIATION_NUM_IST_TE,MATCH(D5,PT_DIFFERENTIATION_IST_TE_ID,0))</f>
      </c>
      <c r="T5" s="317" t="s">
        <v>400</v>
      </c>
      <c r="U5" s="307"/>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65" t="s">
        <v>401</v>
      </c>
      <c r="AO5" s="1631"/>
      <c r="AP5" s="1631" t="str">
        <f>IF(T5="","",T5)</f>
        <v>Источник тепловой энергии  </v>
      </c>
      <c r="AQ5" s="1631"/>
      <c r="AR5" s="1631"/>
      <c r="AS5" s="1638">
        <v>0</v>
      </c>
    </row>
    <row customHeight="1" ht="47.25" hidden="1">
      <c r="A6" s="1274"/>
      <c r="B6" s="1274"/>
      <c r="C6" s="1274"/>
      <c r="D6" s="1274"/>
      <c r="E6" s="2310"/>
      <c r="F6" s="2310"/>
      <c r="G6" s="2310"/>
      <c r="H6" s="2310"/>
      <c r="I6" s="2147">
        <f>S5&amp;".1"</f>
      </c>
      <c r="J6" s="1274"/>
      <c r="K6" s="1274"/>
      <c r="L6" s="1317" t="s">
        <v>402</v>
      </c>
      <c r="M6" s="1642"/>
      <c r="P6" s="2277">
        <v>1</v>
      </c>
      <c r="Q6" s="1958"/>
      <c r="R6" s="363"/>
      <c r="S6" s="1962">
        <f>$I6</f>
      </c>
      <c r="T6" s="292" t="s">
        <v>403</v>
      </c>
      <c r="U6" s="307"/>
      <c r="V6" s="2265"/>
      <c r="W6" s="2266"/>
      <c r="X6" s="2266"/>
      <c r="Y6" s="2266"/>
      <c r="Z6" s="2266"/>
      <c r="AA6" s="2266"/>
      <c r="AB6" s="2266"/>
      <c r="AC6" s="2267"/>
      <c r="AD6" s="2265"/>
      <c r="AE6" s="2266"/>
      <c r="AF6" s="2266"/>
      <c r="AG6" s="2266"/>
      <c r="AH6" s="2266"/>
      <c r="AI6" s="2266"/>
      <c r="AJ6" s="2266"/>
      <c r="AK6" s="2266"/>
      <c r="AL6" s="2267"/>
      <c r="AM6" s="1265" t="s">
        <v>404</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310"/>
      <c r="F7" s="2310"/>
      <c r="G7" s="2310"/>
      <c r="H7" s="2310"/>
      <c r="I7" s="2121"/>
      <c r="J7" s="2147">
        <f>I6&amp;".1"</f>
      </c>
      <c r="K7" s="1274"/>
      <c r="L7" s="1317" t="s">
        <v>405</v>
      </c>
      <c r="M7" s="1642"/>
      <c r="N7" s="1638"/>
      <c r="P7" s="2277"/>
      <c r="Q7" s="2277">
        <v>1</v>
      </c>
      <c r="R7" s="364"/>
      <c r="S7" s="1962">
        <f>$J7</f>
      </c>
      <c r="T7" s="293" t="s">
        <v>406</v>
      </c>
      <c r="U7" s="307"/>
      <c r="V7" s="2265"/>
      <c r="W7" s="2266"/>
      <c r="X7" s="2266"/>
      <c r="Y7" s="2266"/>
      <c r="Z7" s="2266"/>
      <c r="AA7" s="2266"/>
      <c r="AB7" s="2266"/>
      <c r="AC7" s="2267"/>
      <c r="AD7" s="2265"/>
      <c r="AE7" s="2266"/>
      <c r="AF7" s="2266"/>
      <c r="AG7" s="2266"/>
      <c r="AH7" s="2266"/>
      <c r="AI7" s="2266"/>
      <c r="AJ7" s="2266"/>
      <c r="AK7" s="2266"/>
      <c r="AL7" s="2267"/>
      <c r="AM7" s="1265" t="s">
        <v>407</v>
      </c>
      <c r="AO7" s="1631"/>
      <c r="AP7" s="1631" t="str">
        <f>IF(T7="","",T7)</f>
        <v>Группа потребителей</v>
      </c>
      <c r="AQ7" s="1631"/>
      <c r="AR7" s="1631"/>
      <c r="AS7" s="1638">
        <v>0</v>
      </c>
    </row>
    <row customHeight="1" ht="21" hidden="1">
      <c r="A8" s="1274"/>
      <c r="B8" s="1274"/>
      <c r="C8" s="1274"/>
      <c r="D8" s="1274"/>
      <c r="E8" s="2310"/>
      <c r="F8" s="2310"/>
      <c r="G8" s="2310"/>
      <c r="H8" s="2310"/>
      <c r="I8" s="2121"/>
      <c r="J8" s="2121"/>
      <c r="K8" s="2147">
        <f>J7&amp;".1"</f>
      </c>
      <c r="L8" s="1317" t="s">
        <v>408</v>
      </c>
      <c r="M8" s="1642"/>
      <c r="N8" s="1638"/>
      <c r="O8" s="1638"/>
      <c r="P8" s="2277"/>
      <c r="Q8" s="2277"/>
      <c r="R8" s="364">
        <v>1</v>
      </c>
      <c r="S8" s="1962">
        <f>$K8</f>
      </c>
      <c r="T8" s="1354"/>
      <c r="U8" s="307"/>
      <c r="V8" s="758"/>
      <c r="W8" s="332"/>
      <c r="X8" s="758"/>
      <c r="Y8" s="1264"/>
      <c r="Z8" s="2285"/>
      <c r="AA8" s="2127" t="s">
        <v>61</v>
      </c>
      <c r="AB8" s="2285"/>
      <c r="AC8" s="2127" t="s">
        <v>61</v>
      </c>
      <c r="AD8" s="758"/>
      <c r="AE8" s="332"/>
      <c r="AF8" s="758"/>
      <c r="AG8" s="1264"/>
      <c r="AH8" s="2285"/>
      <c r="AI8" s="2127" t="s">
        <v>61</v>
      </c>
      <c r="AJ8" s="2285"/>
      <c r="AK8" s="2127" t="s">
        <v>61</v>
      </c>
      <c r="AL8" s="332"/>
      <c r="AM8" s="2273" t="s">
        <v>409</v>
      </c>
      <c r="AN8" s="1643">
        <f>STRCHECKDATE(V9:AL9)</f>
      </c>
      <c r="AO8" s="1631"/>
      <c r="AP8" s="1631" t="str">
        <f>IF(T8="","",T8)</f>
        <v/>
      </c>
      <c r="AQ8" s="1631"/>
      <c r="AR8" s="1631"/>
      <c r="AS8" s="1638">
        <v>0</v>
      </c>
    </row>
    <row customHeight="1" ht="0.75" hidden="1">
      <c r="A9" s="1274"/>
      <c r="B9" s="1274"/>
      <c r="C9" s="1274"/>
      <c r="D9" s="1274"/>
      <c r="E9" s="2310"/>
      <c r="F9" s="2310"/>
      <c r="G9" s="2310"/>
      <c r="H9" s="2310"/>
      <c r="I9" s="2121"/>
      <c r="J9" s="2121"/>
      <c r="K9" s="2147"/>
      <c r="L9" s="1317"/>
      <c r="M9" s="1642"/>
      <c r="N9" s="1638"/>
      <c r="O9" s="1638"/>
      <c r="P9" s="2277"/>
      <c r="Q9" s="2277"/>
      <c r="R9" s="364"/>
      <c r="S9" s="1971"/>
      <c r="T9" s="307"/>
      <c r="U9" s="307"/>
      <c r="V9" s="332"/>
      <c r="W9" s="332"/>
      <c r="X9" s="332"/>
      <c r="Y9" s="335" t="str">
        <f>Z8&amp;"-"&amp;AB8</f>
        <v>-</v>
      </c>
      <c r="Z9" s="2286"/>
      <c r="AA9" s="2127"/>
      <c r="AB9" s="2286"/>
      <c r="AC9" s="2127"/>
      <c r="AD9" s="332"/>
      <c r="AE9" s="332"/>
      <c r="AF9" s="332"/>
      <c r="AG9" s="335" t="str">
        <f>AH8&amp;"-"&amp;AJ8</f>
        <v>-</v>
      </c>
      <c r="AH9" s="2286"/>
      <c r="AI9" s="2127"/>
      <c r="AJ9" s="2286"/>
      <c r="AK9" s="2127"/>
      <c r="AL9" s="332"/>
      <c r="AM9" s="2274"/>
      <c r="AO9" s="1631"/>
      <c r="AP9" s="1631" t="str">
        <f>IF(T9="","",T9)</f>
        <v/>
      </c>
      <c r="AQ9" s="1631"/>
      <c r="AR9" s="1631"/>
      <c r="AS9" s="1638">
        <v>0</v>
      </c>
    </row>
    <row customHeight="1" ht="15" hidden="1">
      <c r="A10" s="1274"/>
      <c r="B10" s="1274"/>
      <c r="C10" s="1274"/>
      <c r="D10" s="1274"/>
      <c r="E10" s="2310"/>
      <c r="F10" s="2310"/>
      <c r="G10" s="2310"/>
      <c r="H10" s="2310"/>
      <c r="I10" s="2121"/>
      <c r="J10" s="2147"/>
      <c r="K10" s="1274"/>
      <c r="L10" s="1317"/>
      <c r="M10" s="1642"/>
      <c r="N10" s="1638"/>
      <c r="P10" s="2277"/>
      <c r="Q10" s="2277"/>
      <c r="R10" s="363"/>
      <c r="S10" s="1285"/>
      <c r="T10" s="295" t="s">
        <v>410</v>
      </c>
      <c r="U10" s="607"/>
      <c r="V10" s="607"/>
      <c r="W10" s="607"/>
      <c r="X10" s="607"/>
      <c r="Y10" s="607"/>
      <c r="Z10" s="607"/>
      <c r="AA10" s="607"/>
      <c r="AB10" s="607"/>
      <c r="AC10" s="607"/>
      <c r="AD10" s="607"/>
      <c r="AE10" s="607"/>
      <c r="AF10" s="607"/>
      <c r="AG10" s="607"/>
      <c r="AH10" s="607"/>
      <c r="AI10" s="607"/>
      <c r="AJ10" s="607"/>
      <c r="AK10" s="607"/>
      <c r="AL10" s="331"/>
      <c r="AM10" s="2275"/>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310"/>
      <c r="F11" s="2310"/>
      <c r="G11" s="2310"/>
      <c r="H11" s="2310"/>
      <c r="I11" s="2147"/>
      <c r="J11" s="1274"/>
      <c r="K11" s="1274"/>
      <c r="L11" s="1317"/>
      <c r="M11" s="1642"/>
      <c r="P11" s="2277"/>
      <c r="Q11" s="1958"/>
      <c r="R11" s="363"/>
      <c r="S11" s="1285"/>
      <c r="T11" s="294" t="s">
        <v>411</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310"/>
      <c r="F12" s="2310"/>
      <c r="G12" s="2310"/>
      <c r="H12" s="2309"/>
      <c r="I12" s="1274"/>
      <c r="J12" s="1274"/>
      <c r="K12" s="1274"/>
      <c r="L12" s="1317"/>
      <c r="M12" s="1617"/>
      <c r="N12" s="1617"/>
      <c r="O12" s="1642"/>
      <c r="P12" s="367"/>
      <c r="Q12" s="382"/>
      <c r="R12" s="362"/>
      <c r="S12" s="1285"/>
      <c r="T12" s="372" t="s">
        <v>412</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78"/>
      <c r="B13" s="1978"/>
      <c r="C13" s="1978"/>
      <c r="D13" s="1978"/>
      <c r="E13" s="2310"/>
      <c r="F13" s="2310"/>
      <c r="G13" s="2309"/>
      <c r="H13" s="1978"/>
      <c r="I13" s="1978"/>
      <c r="J13" s="1978"/>
      <c r="K13" s="1978"/>
      <c r="L13" s="1387"/>
      <c r="M13" s="1617"/>
      <c r="N13" s="1617"/>
      <c r="O13" s="164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78"/>
      <c r="B14" s="1978"/>
      <c r="C14" s="1978"/>
      <c r="D14" s="1978"/>
      <c r="E14" s="2310"/>
      <c r="F14" s="2309"/>
      <c r="G14" s="1978"/>
      <c r="H14" s="1978"/>
      <c r="I14" s="1978"/>
      <c r="J14" s="1978"/>
      <c r="K14" s="1978"/>
      <c r="L14" s="1387"/>
      <c r="M14" s="1979"/>
      <c r="N14" s="1979"/>
      <c r="O14" s="1642"/>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78"/>
      <c r="B15" s="1978"/>
      <c r="C15" s="1978"/>
      <c r="D15" s="1978"/>
      <c r="E15" s="2309"/>
      <c r="F15" s="1978"/>
      <c r="G15" s="1978"/>
      <c r="H15" s="1978"/>
      <c r="I15" s="1978"/>
      <c r="J15" s="1978"/>
      <c r="K15" s="1978"/>
      <c r="L15" s="1387"/>
      <c r="M15" s="1979"/>
      <c r="N15" s="1979"/>
      <c r="O15" s="1642"/>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87"/>
      <c r="AI17" s="2288" t="s">
        <v>61</v>
      </c>
      <c r="AJ17" s="2287"/>
      <c r="AK17" s="2288" t="s">
        <v>61</v>
      </c>
      <c r="AS17" s="1638">
        <v>0</v>
      </c>
    </row>
    <row customHeight="1" ht="14.25" hidden="1">
      <c r="AD18" s="1367"/>
      <c r="AE18" s="1367"/>
      <c r="AF18" s="1367"/>
      <c r="AG18" s="335" t="str">
        <f>AH17&amp;"-"&amp;AJ17</f>
        <v>-</v>
      </c>
      <c r="AH18" s="2288"/>
      <c r="AI18" s="2288"/>
      <c r="AJ18" s="2288"/>
      <c r="AK18" s="2288"/>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3"/>
      <c r="M20" s="1969"/>
      <c r="N20" s="1969"/>
      <c r="O20" s="1352" t="s">
        <v>416</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3"/>
      <c r="M21" s="1969"/>
      <c r="N21" s="1969"/>
      <c r="O21" s="1969"/>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3"/>
      <c r="M22" s="1969"/>
      <c r="N22" s="1969"/>
      <c r="O22" s="1317" t="s">
        <v>417</v>
      </c>
      <c r="P22" s="1369"/>
      <c r="Q22" s="1378"/>
      <c r="R22" s="1378"/>
      <c r="S22" s="736"/>
      <c r="T22" s="1373" t="s">
        <v>418</v>
      </c>
      <c r="AA22" s="602" t="s">
        <v>419</v>
      </c>
      <c r="AC22" s="602" t="s">
        <v>420</v>
      </c>
      <c r="AD22" s="1373" t="s">
        <v>418</v>
      </c>
      <c r="AI22" s="602" t="s">
        <v>421</v>
      </c>
      <c r="AK22" s="602" t="s">
        <v>420</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50"/>
      <c r="AS26" s="1638">
        <v>14</v>
      </c>
    </row>
    <row customHeight="1" ht="14.699999999999998">
      <c r="Q27" s="383"/>
      <c r="R27" s="383"/>
      <c r="S27" s="2269" t="str">
        <f>IF(org=0,"Не определено",org)</f>
        <v>ИМУП «ПОСЖИЛКОМСЕРВИС»</v>
      </c>
      <c r="T27" s="2269"/>
      <c r="U27" s="2269"/>
      <c r="V27" s="2269"/>
      <c r="W27" s="2269"/>
      <c r="X27" s="2269"/>
      <c r="Y27" s="2269"/>
      <c r="Z27" s="2269"/>
      <c r="AA27" s="2269"/>
      <c r="AB27" s="2269"/>
      <c r="AC27" s="2269"/>
      <c r="AD27" s="2269"/>
      <c r="AE27" s="2269"/>
      <c r="AF27" s="2269"/>
      <c r="AG27" s="2269"/>
      <c r="AH27" s="2269"/>
      <c r="AI27" s="2269"/>
      <c r="AJ27" s="2269"/>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57" customFormat="1" customHeight="1" ht="25.5" hidden="1">
      <c r="A29" s="1255"/>
      <c r="B29" s="1255"/>
      <c r="C29" s="1255"/>
      <c r="D29" s="1255"/>
      <c r="E29" s="1255"/>
      <c r="F29" s="1255"/>
      <c r="G29" s="1255"/>
      <c r="H29" s="1255"/>
      <c r="I29" s="1255"/>
      <c r="J29" s="1255"/>
      <c r="K29" s="1255"/>
      <c r="L29" s="1387"/>
      <c r="M29" s="1255"/>
      <c r="N29" s="1255"/>
      <c r="O29" s="1255"/>
      <c r="S29" s="2270" t="s">
        <v>41</v>
      </c>
      <c r="T29" s="2270"/>
      <c r="U29" s="1379"/>
      <c r="V29" s="2271" t="str">
        <f>IF(TITLE_NAME_OR_PR_CHANGE="",IF(TITLE_NAME_OR_PR="","",TITLE_NAME_OR_PR),TITLE_NAME_OR_PR_CHANGE)</f>
        <v/>
      </c>
      <c r="W29" s="2271"/>
      <c r="X29" s="2271"/>
      <c r="Y29" s="2271"/>
      <c r="Z29" s="2271"/>
      <c r="AA29" s="2271"/>
      <c r="AB29" s="2271"/>
      <c r="AC29" s="1642"/>
      <c r="AD29" s="2271" t="str">
        <f>IF(TITLE_NAME_OR_PR_CHANGE="",IF(TITLE_NAME_OR_PR="","",TITLE_NAME_OR_PR),TITLE_NAME_OR_PR_CHANGE)</f>
        <v/>
      </c>
      <c r="AE29" s="2271"/>
      <c r="AF29" s="2271"/>
      <c r="AG29" s="2271"/>
      <c r="AH29" s="2271"/>
      <c r="AI29" s="2271"/>
      <c r="AJ29" s="2271"/>
      <c r="AK29" s="1642"/>
      <c r="AL29" s="1642"/>
      <c r="AM29" s="287"/>
      <c r="AN29" s="375"/>
      <c r="AO29" s="375"/>
      <c r="AP29" s="375"/>
      <c r="AQ29" s="375"/>
      <c r="AR29" s="375"/>
      <c r="AS29" s="425">
        <v>0</v>
      </c>
    </row>
    <row s="1857" customFormat="1" customHeight="1" ht="18.75" hidden="1">
      <c r="A30" s="1255"/>
      <c r="B30" s="1255"/>
      <c r="C30" s="1255"/>
      <c r="D30" s="1255"/>
      <c r="E30" s="1255"/>
      <c r="F30" s="1255"/>
      <c r="G30" s="1255"/>
      <c r="H30" s="1255"/>
      <c r="I30" s="1255"/>
      <c r="J30" s="1255"/>
      <c r="K30" s="1255"/>
      <c r="L30" s="1387"/>
      <c r="M30" s="1255"/>
      <c r="N30" s="1255"/>
      <c r="O30" s="1255"/>
      <c r="S30" s="2270" t="s">
        <v>422</v>
      </c>
      <c r="T30" s="2270"/>
      <c r="U30" s="1379"/>
      <c r="V30" s="2284" t="str">
        <f>IF(TITLE_DATE_PR_CHANGE="",IF(TITLE_DATE_PR="","",TITLE_DATE_PR),TITLE_DATE_PR_CHANGE)</f>
        <v/>
      </c>
      <c r="W30" s="2284"/>
      <c r="X30" s="2284"/>
      <c r="Y30" s="2284"/>
      <c r="Z30" s="2284"/>
      <c r="AA30" s="2284"/>
      <c r="AB30" s="2284"/>
      <c r="AC30" s="1642"/>
      <c r="AD30" s="2284" t="str">
        <f>IF(TITLE_DATE_PR_CHANGE="",IF(TITLE_DATE_PR="","",TITLE_DATE_PR),TITLE_DATE_PR_CHANGE)</f>
        <v/>
      </c>
      <c r="AE30" s="2284"/>
      <c r="AF30" s="2284"/>
      <c r="AG30" s="2284"/>
      <c r="AH30" s="2284"/>
      <c r="AI30" s="2284"/>
      <c r="AJ30" s="2284"/>
      <c r="AK30" s="1642"/>
      <c r="AL30" s="1642"/>
      <c r="AM30" s="287"/>
      <c r="AN30" s="375"/>
      <c r="AO30" s="375"/>
      <c r="AP30" s="375"/>
      <c r="AQ30" s="375"/>
      <c r="AR30" s="375"/>
      <c r="AS30" s="425">
        <v>0</v>
      </c>
    </row>
    <row s="1857" customFormat="1" customHeight="1" ht="18.75" hidden="1">
      <c r="A31" s="1255"/>
      <c r="B31" s="1255"/>
      <c r="C31" s="1255"/>
      <c r="D31" s="1255"/>
      <c r="E31" s="1255"/>
      <c r="F31" s="1255"/>
      <c r="G31" s="1255"/>
      <c r="H31" s="1255"/>
      <c r="I31" s="1255"/>
      <c r="J31" s="1255"/>
      <c r="K31" s="1255"/>
      <c r="L31" s="1387"/>
      <c r="M31" s="1255"/>
      <c r="N31" s="1255"/>
      <c r="O31" s="1255"/>
      <c r="S31" s="2270" t="s">
        <v>423</v>
      </c>
      <c r="T31" s="2270"/>
      <c r="U31" s="1379"/>
      <c r="V31" s="2271" t="str">
        <f>IF(TITLE_NUMBER_PR_CHANGE="",IF(TITLE_NUMBER_PR="","",TITLE_NUMBER_PR),TITLE_NUMBER_PR_CHANGE)</f>
        <v/>
      </c>
      <c r="W31" s="2271"/>
      <c r="X31" s="2271"/>
      <c r="Y31" s="2271"/>
      <c r="Z31" s="2271"/>
      <c r="AA31" s="2271"/>
      <c r="AB31" s="2271"/>
      <c r="AC31" s="1642"/>
      <c r="AD31" s="2271" t="str">
        <f>IF(TITLE_NUMBER_PR_CHANGE="",IF(TITLE_NUMBER_PR="","",TITLE_NUMBER_PR),TITLE_NUMBER_PR_CHANGE)</f>
        <v/>
      </c>
      <c r="AE31" s="2271"/>
      <c r="AF31" s="2271"/>
      <c r="AG31" s="2271"/>
      <c r="AH31" s="2271"/>
      <c r="AI31" s="2271"/>
      <c r="AJ31" s="2271"/>
      <c r="AK31" s="1642"/>
      <c r="AL31" s="1642"/>
      <c r="AM31" s="287"/>
      <c r="AN31" s="375"/>
      <c r="AO31" s="375"/>
      <c r="AP31" s="375"/>
      <c r="AQ31" s="375"/>
      <c r="AR31" s="375"/>
      <c r="AS31" s="425">
        <v>0</v>
      </c>
    </row>
    <row s="1857" customFormat="1" customHeight="1" ht="18.75" hidden="1">
      <c r="A32" s="1255"/>
      <c r="B32" s="1255"/>
      <c r="C32" s="1255"/>
      <c r="D32" s="1255"/>
      <c r="E32" s="1255"/>
      <c r="F32" s="1255"/>
      <c r="G32" s="1255"/>
      <c r="H32" s="1255"/>
      <c r="I32" s="1255"/>
      <c r="J32" s="1255"/>
      <c r="K32" s="1255"/>
      <c r="L32" s="1387"/>
      <c r="M32" s="1255"/>
      <c r="N32" s="1255"/>
      <c r="O32" s="1255"/>
      <c r="S32" s="2270" t="s">
        <v>42</v>
      </c>
      <c r="T32" s="2270"/>
      <c r="U32" s="1379"/>
      <c r="V32" s="2271" t="str">
        <f>IF(TITLE_IST_PUB_CHANGE="",IF(TITLE_IST_PUB="","",TITLE_IST_PUB),TITLE_IST_PUB_CHANGE)</f>
        <v/>
      </c>
      <c r="W32" s="2271"/>
      <c r="X32" s="2271"/>
      <c r="Y32" s="2271"/>
      <c r="Z32" s="2271"/>
      <c r="AA32" s="2271"/>
      <c r="AB32" s="2271"/>
      <c r="AC32" s="1642"/>
      <c r="AD32" s="2271" t="str">
        <f>IF(TITLE_IST_PUB_CHANGE="",IF(TITLE_IST_PUB="","",TITLE_IST_PUB),TITLE_IST_PUB_CHANGE)</f>
        <v/>
      </c>
      <c r="AE32" s="2271"/>
      <c r="AF32" s="2271"/>
      <c r="AG32" s="2271"/>
      <c r="AH32" s="2271"/>
      <c r="AI32" s="2271"/>
      <c r="AJ32" s="2271"/>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57" customFormat="1" customHeight="1" ht="18.75" hidden="1">
      <c r="A34" s="1255"/>
      <c r="B34" s="1255"/>
      <c r="C34" s="1255"/>
      <c r="D34" s="1255"/>
      <c r="E34" s="1255"/>
      <c r="F34" s="1255"/>
      <c r="G34" s="1255"/>
      <c r="H34" s="1255"/>
      <c r="I34" s="1255"/>
      <c r="J34" s="1255"/>
      <c r="K34" s="1255"/>
      <c r="L34" s="1387"/>
      <c r="M34" s="1255"/>
      <c r="N34" s="1255"/>
      <c r="O34" s="1255"/>
      <c r="S34" s="2270" t="s">
        <v>424</v>
      </c>
      <c r="T34" s="2270"/>
      <c r="U34" s="1379"/>
      <c r="V34" s="2284" t="str">
        <f>IF(TITLE_DATE_PR_CHANGE="",IF(TITLE_DATE_PR="","",TITLE_DATE_PR),TITLE_DATE_PR_CHANGE)</f>
        <v/>
      </c>
      <c r="W34" s="2284"/>
      <c r="X34" s="2284"/>
      <c r="Y34" s="2284"/>
      <c r="Z34" s="2284"/>
      <c r="AA34" s="2284"/>
      <c r="AB34" s="2284"/>
      <c r="AC34" s="1642"/>
      <c r="AD34" s="2284" t="str">
        <f>IF(TITLE_DATE_PR_CHANGE="",IF(TITLE_DATE_PR="","",TITLE_DATE_PR),TITLE_DATE_PR_CHANGE)</f>
        <v/>
      </c>
      <c r="AE34" s="2284"/>
      <c r="AF34" s="2284"/>
      <c r="AG34" s="2284"/>
      <c r="AH34" s="2284"/>
      <c r="AI34" s="2284"/>
      <c r="AJ34" s="2284"/>
      <c r="AK34" s="1642"/>
      <c r="AL34" s="1642"/>
      <c r="AM34" s="287"/>
      <c r="AN34" s="375"/>
      <c r="AO34" s="375"/>
      <c r="AP34" s="375"/>
      <c r="AQ34" s="375"/>
      <c r="AR34" s="375"/>
      <c r="AS34" s="425">
        <v>0</v>
      </c>
    </row>
    <row s="1857" customFormat="1" customHeight="1" ht="18.75" hidden="1">
      <c r="A35" s="1255"/>
      <c r="B35" s="1255"/>
      <c r="C35" s="1255"/>
      <c r="D35" s="1255"/>
      <c r="E35" s="1255"/>
      <c r="F35" s="1255"/>
      <c r="G35" s="1255"/>
      <c r="H35" s="1255"/>
      <c r="I35" s="1255"/>
      <c r="J35" s="1255"/>
      <c r="K35" s="1255"/>
      <c r="L35" s="1387"/>
      <c r="M35" s="1255"/>
      <c r="N35" s="1255"/>
      <c r="O35" s="1255"/>
      <c r="S35" s="2270" t="s">
        <v>425</v>
      </c>
      <c r="T35" s="2270"/>
      <c r="U35" s="1379"/>
      <c r="V35" s="2271" t="str">
        <f>IF(TITLE_NUMBER_PR_CHANGE="",IF(TITLE_NUMBER_PR="","",TITLE_NUMBER_PR),TITLE_NUMBER_PR_CHANGE)</f>
        <v/>
      </c>
      <c r="W35" s="2271"/>
      <c r="X35" s="2271"/>
      <c r="Y35" s="2271"/>
      <c r="Z35" s="2271"/>
      <c r="AA35" s="2271"/>
      <c r="AB35" s="2271"/>
      <c r="AC35" s="1642"/>
      <c r="AD35" s="2271" t="str">
        <f>IF(TITLE_NUMBER_PR_CHANGE="",IF(TITLE_NUMBER_PR="","",TITLE_NUMBER_PR),TITLE_NUMBER_PR_CHANGE)</f>
        <v/>
      </c>
      <c r="AE35" s="2271"/>
      <c r="AF35" s="2271"/>
      <c r="AG35" s="2271"/>
      <c r="AH35" s="2271"/>
      <c r="AI35" s="2271"/>
      <c r="AJ35" s="2271"/>
      <c r="AK35" s="1642"/>
      <c r="AL35" s="1642"/>
      <c r="AM35" s="287"/>
      <c r="AN35" s="375"/>
      <c r="AO35" s="375"/>
      <c r="AP35" s="375"/>
      <c r="AQ35" s="375"/>
      <c r="AR35" s="375"/>
      <c r="AS35" s="425">
        <v>0</v>
      </c>
    </row>
    <row s="1857" customFormat="1" customHeight="1" ht="0">
      <c r="A36" s="1255"/>
      <c r="B36" s="1255"/>
      <c r="C36" s="1255"/>
      <c r="D36" s="1255"/>
      <c r="E36" s="1255"/>
      <c r="F36" s="1255"/>
      <c r="G36" s="1255"/>
      <c r="H36" s="1255"/>
      <c r="I36" s="1255"/>
      <c r="J36" s="1255"/>
      <c r="K36" s="1255"/>
      <c r="L36" s="1387"/>
      <c r="M36" s="1255"/>
      <c r="N36" s="1255"/>
      <c r="O36" s="1255"/>
      <c r="S36" s="1642"/>
      <c r="T36" s="1642"/>
      <c r="U36" s="1974"/>
      <c r="V36" s="1642"/>
      <c r="W36" s="1642"/>
      <c r="X36" s="1642"/>
      <c r="Y36" s="1642"/>
      <c r="Z36" s="1642"/>
      <c r="AA36" s="1642"/>
      <c r="AB36" s="1642"/>
      <c r="AC36" s="1649" t="s">
        <v>426</v>
      </c>
      <c r="AD36" s="1642"/>
      <c r="AE36" s="1642"/>
      <c r="AF36" s="1642"/>
      <c r="AG36" s="1642"/>
      <c r="AH36" s="1642"/>
      <c r="AI36" s="1642"/>
      <c r="AJ36" s="1642"/>
      <c r="AK36" s="1649" t="s">
        <v>426</v>
      </c>
      <c r="AN36" s="375"/>
      <c r="AO36" s="375"/>
      <c r="AP36" s="375"/>
      <c r="AQ36" s="375"/>
      <c r="AR36" s="375"/>
      <c r="AS36" s="425">
        <v>0</v>
      </c>
    </row>
    <row customHeight="1" ht="14.699999999999998">
      <c r="Q37" s="383"/>
      <c r="R37" s="383"/>
      <c r="S37" s="1282"/>
      <c r="T37" s="464"/>
      <c r="U37" s="1251"/>
      <c r="V37" s="2272"/>
      <c r="W37" s="2272"/>
      <c r="X37" s="2272"/>
      <c r="Y37" s="2272"/>
      <c r="Z37" s="2272"/>
      <c r="AA37" s="2272"/>
      <c r="AB37" s="2272"/>
      <c r="AC37" s="2272"/>
      <c r="AD37" s="2272"/>
      <c r="AE37" s="2272"/>
      <c r="AF37" s="2272"/>
      <c r="AG37" s="2272"/>
      <c r="AH37" s="2272"/>
      <c r="AI37" s="2272"/>
      <c r="AJ37" s="2272"/>
      <c r="AK37" s="2272"/>
      <c r="AS37" s="1638">
        <v>14</v>
      </c>
    </row>
    <row customHeight="1" ht="14.699999999999998">
      <c r="Q38" s="383"/>
      <c r="R38" s="383"/>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638">
        <v>14</v>
      </c>
    </row>
    <row customHeight="1" ht="14.699999999999998">
      <c r="Q39" s="383"/>
      <c r="R39" s="383"/>
      <c r="S39" s="2293" t="s">
        <v>87</v>
      </c>
      <c r="T39" s="2229" t="s">
        <v>427</v>
      </c>
      <c r="U39" s="344"/>
      <c r="V39" s="2294" t="s">
        <v>428</v>
      </c>
      <c r="W39" s="2295"/>
      <c r="X39" s="2295"/>
      <c r="Y39" s="2295"/>
      <c r="Z39" s="2295"/>
      <c r="AA39" s="2295"/>
      <c r="AB39" s="2296"/>
      <c r="AC39" s="2297" t="s">
        <v>429</v>
      </c>
      <c r="AD39" s="2294" t="s">
        <v>428</v>
      </c>
      <c r="AE39" s="2295"/>
      <c r="AF39" s="2295"/>
      <c r="AG39" s="2295"/>
      <c r="AH39" s="2295"/>
      <c r="AI39" s="2295"/>
      <c r="AJ39" s="2296"/>
      <c r="AK39" s="2297" t="s">
        <v>430</v>
      </c>
      <c r="AL39" s="2300" t="s">
        <v>431</v>
      </c>
      <c r="AM39" s="2147"/>
      <c r="AS39" s="1638">
        <v>14</v>
      </c>
    </row>
    <row customHeight="1" ht="35.699999999999996">
      <c r="Q40" s="383"/>
      <c r="R40" s="383"/>
      <c r="S40" s="2293"/>
      <c r="T40" s="2229"/>
      <c r="U40" s="1038"/>
      <c r="V40" s="2280" t="s">
        <v>432</v>
      </c>
      <c r="W40" s="2303" t="s">
        <v>433</v>
      </c>
      <c r="X40" s="2282" t="s">
        <v>434</v>
      </c>
      <c r="Y40" s="2283"/>
      <c r="Z40" s="2282" t="s">
        <v>448</v>
      </c>
      <c r="AA40" s="2289"/>
      <c r="AB40" s="2283"/>
      <c r="AC40" s="2298"/>
      <c r="AD40" s="2280" t="s">
        <v>432</v>
      </c>
      <c r="AE40" s="2303" t="s">
        <v>433</v>
      </c>
      <c r="AF40" s="2282" t="s">
        <v>434</v>
      </c>
      <c r="AG40" s="2283"/>
      <c r="AH40" s="2282" t="s">
        <v>435</v>
      </c>
      <c r="AI40" s="2289"/>
      <c r="AJ40" s="2283"/>
      <c r="AK40" s="2298"/>
      <c r="AL40" s="2301"/>
      <c r="AM40" s="2147"/>
      <c r="AS40" s="1638">
        <v>34</v>
      </c>
    </row>
    <row customHeight="1" ht="35.699999999999996">
      <c r="A41" s="1273"/>
      <c r="B41" s="1273" t="s">
        <v>136</v>
      </c>
      <c r="C41" s="1273" t="s">
        <v>137</v>
      </c>
      <c r="D41" s="1273" t="s">
        <v>138</v>
      </c>
      <c r="E41" s="1317" t="s">
        <v>436</v>
      </c>
      <c r="F41" s="1317" t="s">
        <v>437</v>
      </c>
      <c r="G41" s="1317" t="s">
        <v>438</v>
      </c>
      <c r="H41" s="1317" t="s">
        <v>439</v>
      </c>
      <c r="I41" s="1317" t="s">
        <v>440</v>
      </c>
      <c r="J41" s="1317" t="s">
        <v>441</v>
      </c>
      <c r="K41" s="1317" t="s">
        <v>442</v>
      </c>
      <c r="L41" s="1317" t="s">
        <v>417</v>
      </c>
      <c r="Q41" s="383"/>
      <c r="R41" s="383"/>
      <c r="S41" s="2293"/>
      <c r="T41" s="2229"/>
      <c r="U41" s="309"/>
      <c r="V41" s="2281"/>
      <c r="W41" s="2304"/>
      <c r="X41" s="1942" t="s">
        <v>443</v>
      </c>
      <c r="Y41" s="1942" t="s">
        <v>444</v>
      </c>
      <c r="Z41" s="1942" t="s">
        <v>445</v>
      </c>
      <c r="AA41" s="2290" t="s">
        <v>446</v>
      </c>
      <c r="AB41" s="2291"/>
      <c r="AC41" s="2299"/>
      <c r="AD41" s="2281"/>
      <c r="AE41" s="2304"/>
      <c r="AF41" s="1942" t="s">
        <v>443</v>
      </c>
      <c r="AG41" s="1942" t="s">
        <v>444</v>
      </c>
      <c r="AH41" s="1942" t="s">
        <v>445</v>
      </c>
      <c r="AI41" s="2290" t="s">
        <v>446</v>
      </c>
      <c r="AJ41" s="2291"/>
      <c r="AK41" s="2299"/>
      <c r="AL41" s="2302"/>
      <c r="AM41" s="2147"/>
      <c r="AS41" s="1638">
        <v>34</v>
      </c>
    </row>
    <row s="1648" customFormat="1" customHeight="1" ht="11.25" hidden="1">
      <c r="A42" s="1273"/>
      <c r="B42" s="1273"/>
      <c r="C42" s="1273"/>
      <c r="D42" s="1273"/>
      <c r="E42" s="1273"/>
      <c r="F42" s="1273"/>
      <c r="G42" s="1273"/>
      <c r="H42" s="1273"/>
      <c r="I42" s="1273"/>
      <c r="J42" s="1273"/>
      <c r="K42" s="1273"/>
      <c r="L42" s="1317"/>
      <c r="M42" s="1969"/>
      <c r="N42" s="1969"/>
      <c r="O42" s="1969"/>
      <c r="P42" s="1253"/>
      <c r="Q42" s="1254"/>
      <c r="R42" s="1261">
        <v>1</v>
      </c>
      <c r="S42" s="1284" t="s">
        <v>109</v>
      </c>
      <c r="T42" s="1262" t="s">
        <v>110</v>
      </c>
      <c r="U42" s="1252" t="str">
        <f>OFFSET(U42,0,-1)</f>
        <v>2</v>
      </c>
      <c r="V42" s="1960">
        <f>OFFSET(V42,0,-1)+1</f>
        <v>3</v>
      </c>
      <c r="W42" s="1960"/>
      <c r="X42" s="1960">
        <f>OFFSET(X42,0,-1)+1</f>
        <v>1</v>
      </c>
      <c r="Y42" s="1960">
        <f>OFFSET(Y42,0,-1)+1</f>
        <v>2</v>
      </c>
      <c r="Z42" s="1960">
        <f>OFFSET(Z42,0,-1)+1</f>
        <v>3</v>
      </c>
      <c r="AA42" s="2292">
        <f>OFFSET(AA42,0,-1)+1</f>
        <v>4</v>
      </c>
      <c r="AB42" s="2292"/>
      <c r="AC42" s="1960">
        <f>OFFSET(AC42,0,-2)+1</f>
        <v>5</v>
      </c>
      <c r="AD42" s="1960">
        <f>OFFSET(AD42,0,-1)+1</f>
        <v>6</v>
      </c>
      <c r="AE42" s="1960"/>
      <c r="AF42" s="1960">
        <f>OFFSET(AF42,0,-1)+1</f>
        <v>1</v>
      </c>
      <c r="AG42" s="1960">
        <f>OFFSET(AG42,0,-1)+1</f>
        <v>2</v>
      </c>
      <c r="AH42" s="1960">
        <f>OFFSET(AH42,0,-1)+1</f>
        <v>3</v>
      </c>
      <c r="AI42" s="2292">
        <f>OFFSET(AI42,0,-1)+1</f>
        <v>4</v>
      </c>
      <c r="AJ42" s="2292"/>
      <c r="AK42" s="1960">
        <f>OFFSET(AK42,0,-2)+1</f>
        <v>5</v>
      </c>
      <c r="AL42" s="1252">
        <f>OFFSET(AL42,0,-1)</f>
        <v>5</v>
      </c>
      <c r="AM42" s="1960">
        <f>OFFSET(AM42,0,-1)+1</f>
        <v>6</v>
      </c>
      <c r="AN42" s="1643"/>
      <c r="AO42" s="1643"/>
      <c r="AP42" s="1643"/>
      <c r="AQ42" s="1643"/>
      <c r="AR42" s="1643"/>
      <c r="AS42" s="1648">
        <v>0</v>
      </c>
    </row>
    <row customHeight="1" ht="22.049999999999997">
      <c r="A43" s="1274" t="s">
        <v>211</v>
      </c>
      <c r="B43" s="1274"/>
      <c r="C43" s="1274"/>
      <c r="D43" s="1274"/>
      <c r="E43" s="2309">
        <v>1</v>
      </c>
      <c r="F43" s="1274"/>
      <c r="G43" s="1274"/>
      <c r="H43" s="1274"/>
      <c r="I43" s="1274"/>
      <c r="J43" s="1274"/>
      <c r="K43" s="1274"/>
      <c r="L43" s="1317"/>
      <c r="M43" s="1617"/>
      <c r="N43" s="1617"/>
      <c r="O43" s="1617"/>
      <c r="P43" s="1597"/>
      <c r="Q43" s="367"/>
      <c r="R43" s="362"/>
      <c r="S43" s="1962">
        <f>INDEX(PT_DIFFERENTIATION_NUM_NTAR,MATCH(A43,PT_DIFFERENTIATION_NTAR_ID,0))</f>
        <v>0</v>
      </c>
      <c r="T43" s="1532" t="s">
        <v>124</v>
      </c>
      <c r="U43" s="307"/>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211</v>
      </c>
      <c r="B44" s="1274" t="s">
        <v>212</v>
      </c>
      <c r="C44" s="1274"/>
      <c r="D44" s="1274"/>
      <c r="E44" s="2310"/>
      <c r="F44" s="2309">
        <v>1</v>
      </c>
      <c r="G44" s="1274"/>
      <c r="H44" s="1274"/>
      <c r="I44" s="1274"/>
      <c r="J44" s="1274"/>
      <c r="K44" s="1274"/>
      <c r="L44" s="1317"/>
      <c r="M44" s="1617"/>
      <c r="N44" s="1617"/>
      <c r="O44" s="1617"/>
      <c r="P44" s="1944"/>
      <c r="Q44" s="359"/>
      <c r="R44" s="360"/>
      <c r="S44" s="1962" t="str">
        <f>INDEX(PT_DIFFERENTIATION_NUM_TER,MATCH(B44,PT_DIFFERENTIATION_TER_ID,0))</f>
        <v>.</v>
      </c>
      <c r="T44" s="1529" t="s">
        <v>396</v>
      </c>
      <c r="U44" s="307"/>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65" t="s">
        <v>397</v>
      </c>
      <c r="AO44" s="1631"/>
      <c r="AP44" s="1631" t="str">
        <f>IF(T44="","",T44)</f>
        <v>Территория действия тарифа</v>
      </c>
      <c r="AQ44" s="1631"/>
      <c r="AR44" s="1631"/>
      <c r="AS44" s="1638">
        <v>21</v>
      </c>
    </row>
    <row customHeight="1" ht="24">
      <c r="A45" s="1274" t="s">
        <v>211</v>
      </c>
      <c r="B45" s="1274" t="s">
        <v>212</v>
      </c>
      <c r="C45" s="1274" t="s">
        <v>213</v>
      </c>
      <c r="D45" s="1274"/>
      <c r="E45" s="2310"/>
      <c r="F45" s="2310"/>
      <c r="G45" s="2309">
        <v>1</v>
      </c>
      <c r="H45" s="1274"/>
      <c r="I45" s="1274"/>
      <c r="J45" s="1274"/>
      <c r="K45" s="1274"/>
      <c r="L45" s="1317"/>
      <c r="M45" s="1617"/>
      <c r="N45" s="1617"/>
      <c r="O45" s="1617"/>
      <c r="P45" s="361"/>
      <c r="Q45" s="359"/>
      <c r="R45" s="360"/>
      <c r="S45" s="1962" t="str">
        <f>INDEX(PT_DIFFERENTIATION_NUM_CS,MATCH(C45,PT_DIFFERENTIATION_CS_ID,0))</f>
        <v>..</v>
      </c>
      <c r="T45" s="316" t="s">
        <v>398</v>
      </c>
      <c r="U45" s="307"/>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65" t="s">
        <v>399</v>
      </c>
      <c r="AO45" s="1631"/>
      <c r="AP45" s="1631" t="str">
        <f>IF(T45="","",T45)</f>
        <v>Наименование системы теплоснабжения </v>
      </c>
      <c r="AQ45" s="1631"/>
      <c r="AR45" s="1631"/>
      <c r="AS45" s="1638">
        <v>23</v>
      </c>
    </row>
    <row customHeight="1" ht="22.049999999999997">
      <c r="A46" s="1274" t="s">
        <v>211</v>
      </c>
      <c r="B46" s="1274" t="s">
        <v>212</v>
      </c>
      <c r="C46" s="1274" t="s">
        <v>213</v>
      </c>
      <c r="D46" s="1274" t="s">
        <v>214</v>
      </c>
      <c r="E46" s="2310"/>
      <c r="F46" s="2310"/>
      <c r="G46" s="2310"/>
      <c r="H46" s="2309">
        <v>1</v>
      </c>
      <c r="I46" s="1274"/>
      <c r="J46" s="1274"/>
      <c r="K46" s="1274"/>
      <c r="L46" s="1317"/>
      <c r="M46" s="1617"/>
      <c r="N46" s="1617"/>
      <c r="O46" s="1617"/>
      <c r="P46" s="361"/>
      <c r="Q46" s="359"/>
      <c r="R46" s="360"/>
      <c r="S46" s="1962" t="str">
        <f>INDEX(PT_DIFFERENTIATION_NUM_IST_TE,MATCH(D46,PT_DIFFERENTIATION_IST_TE_ID,0))</f>
        <v>...</v>
      </c>
      <c r="T46" s="317" t="s">
        <v>400</v>
      </c>
      <c r="U46" s="307"/>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65" t="s">
        <v>401</v>
      </c>
      <c r="AO46" s="1631"/>
      <c r="AP46" s="1631" t="str">
        <f>IF(T46="","",T46)</f>
        <v>Источник тепловой энергии  </v>
      </c>
      <c r="AQ46" s="1631"/>
      <c r="AR46" s="1631"/>
      <c r="AS46" s="1638">
        <v>21</v>
      </c>
    </row>
    <row customHeight="1" ht="49.5">
      <c r="A47" s="1274" t="s">
        <v>211</v>
      </c>
      <c r="B47" s="1274" t="s">
        <v>212</v>
      </c>
      <c r="C47" s="1274" t="s">
        <v>213</v>
      </c>
      <c r="D47" s="1274" t="s">
        <v>214</v>
      </c>
      <c r="E47" s="2310"/>
      <c r="F47" s="2310"/>
      <c r="G47" s="2310"/>
      <c r="H47" s="2310"/>
      <c r="I47" s="2147" t="str">
        <f>S46&amp;".1"</f>
        <v>....1</v>
      </c>
      <c r="J47" s="1274"/>
      <c r="K47" s="1274"/>
      <c r="L47" s="1317" t="s">
        <v>402</v>
      </c>
      <c r="P47" s="2277">
        <v>1</v>
      </c>
      <c r="Q47" s="1958"/>
      <c r="R47" s="363"/>
      <c r="S47" s="1962" t="str">
        <f>$I47</f>
        <v>....1</v>
      </c>
      <c r="T47" s="292" t="s">
        <v>403</v>
      </c>
      <c r="U47" s="307"/>
      <c r="V47" s="2265"/>
      <c r="W47" s="2266"/>
      <c r="X47" s="2266"/>
      <c r="Y47" s="2266"/>
      <c r="Z47" s="2266"/>
      <c r="AA47" s="2266"/>
      <c r="AB47" s="2266"/>
      <c r="AC47" s="2267"/>
      <c r="AD47" s="2265"/>
      <c r="AE47" s="2266"/>
      <c r="AF47" s="2266"/>
      <c r="AG47" s="2266"/>
      <c r="AH47" s="2266"/>
      <c r="AI47" s="2266"/>
      <c r="AJ47" s="2266"/>
      <c r="AK47" s="2266"/>
      <c r="AL47" s="2267"/>
      <c r="AM47" s="1265" t="s">
        <v>404</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211</v>
      </c>
      <c r="B48" s="1274" t="s">
        <v>212</v>
      </c>
      <c r="C48" s="1274" t="s">
        <v>213</v>
      </c>
      <c r="D48" s="1274" t="s">
        <v>214</v>
      </c>
      <c r="E48" s="2310"/>
      <c r="F48" s="2310"/>
      <c r="G48" s="2310"/>
      <c r="H48" s="2310"/>
      <c r="I48" s="2121"/>
      <c r="J48" s="2147" t="str">
        <f>I47&amp;".1"</f>
        <v>....1.1</v>
      </c>
      <c r="K48" s="1274"/>
      <c r="L48" s="1317" t="s">
        <v>405</v>
      </c>
      <c r="P48" s="2277"/>
      <c r="Q48" s="2277">
        <v>1</v>
      </c>
      <c r="R48" s="364"/>
      <c r="S48" s="1962" t="str">
        <f>$J48</f>
        <v>....1.1</v>
      </c>
      <c r="T48" s="293" t="s">
        <v>406</v>
      </c>
      <c r="U48" s="307"/>
      <c r="V48" s="2265"/>
      <c r="W48" s="2266"/>
      <c r="X48" s="2266"/>
      <c r="Y48" s="2266"/>
      <c r="Z48" s="2266"/>
      <c r="AA48" s="2266"/>
      <c r="AB48" s="2266"/>
      <c r="AC48" s="2267"/>
      <c r="AD48" s="2265"/>
      <c r="AE48" s="2266"/>
      <c r="AF48" s="2266"/>
      <c r="AG48" s="2266"/>
      <c r="AH48" s="2266"/>
      <c r="AI48" s="2266"/>
      <c r="AJ48" s="2266"/>
      <c r="AK48" s="2266"/>
      <c r="AL48" s="2267"/>
      <c r="AM48" s="1265" t="s">
        <v>407</v>
      </c>
      <c r="AO48" s="1631"/>
      <c r="AP48" s="1631" t="str">
        <f>IF(T48="","",T48)</f>
        <v>Группа потребителей</v>
      </c>
      <c r="AQ48" s="1631"/>
      <c r="AR48" s="1631"/>
      <c r="AS48" s="1638">
        <v>21</v>
      </c>
    </row>
    <row customHeight="1" ht="22.049999999999997">
      <c r="A49" s="1274" t="s">
        <v>211</v>
      </c>
      <c r="B49" s="1274" t="s">
        <v>212</v>
      </c>
      <c r="C49" s="1274" t="s">
        <v>213</v>
      </c>
      <c r="D49" s="1274" t="s">
        <v>214</v>
      </c>
      <c r="E49" s="2310"/>
      <c r="F49" s="2310"/>
      <c r="G49" s="2310"/>
      <c r="H49" s="2310"/>
      <c r="I49" s="2121"/>
      <c r="J49" s="2121"/>
      <c r="K49" s="2147" t="str">
        <f>J48&amp;".1"</f>
        <v>....1.1.1</v>
      </c>
      <c r="L49" s="1317" t="s">
        <v>408</v>
      </c>
      <c r="P49" s="2277"/>
      <c r="Q49" s="2277"/>
      <c r="R49" s="364">
        <v>1</v>
      </c>
      <c r="S49" s="1962" t="str">
        <f>$K49</f>
        <v>....1.1.1</v>
      </c>
      <c r="T49" s="1354"/>
      <c r="U49" s="307"/>
      <c r="V49" s="758"/>
      <c r="W49" s="332"/>
      <c r="X49" s="758"/>
      <c r="Y49" s="1264"/>
      <c r="Z49" s="2285"/>
      <c r="AA49" s="2127" t="s">
        <v>61</v>
      </c>
      <c r="AB49" s="2285"/>
      <c r="AC49" s="2127" t="s">
        <v>61</v>
      </c>
      <c r="AD49" s="758"/>
      <c r="AE49" s="332"/>
      <c r="AF49" s="758"/>
      <c r="AG49" s="1264"/>
      <c r="AH49" s="2285"/>
      <c r="AI49" s="2127" t="s">
        <v>61</v>
      </c>
      <c r="AJ49" s="2307"/>
      <c r="AK49" s="2127" t="s">
        <v>61</v>
      </c>
      <c r="AL49" s="1355"/>
      <c r="AM49" s="2273" t="s">
        <v>409</v>
      </c>
      <c r="AN49" s="1643">
        <f>STRCHECKDATE(V50:AL50)</f>
      </c>
      <c r="AO49" s="1631"/>
      <c r="AP49" s="1631" t="str">
        <f>IF(T49="","",T49)</f>
        <v/>
      </c>
      <c r="AQ49" s="1631"/>
      <c r="AR49" s="1631"/>
      <c r="AS49" s="1638">
        <v>21</v>
      </c>
    </row>
    <row customHeight="1" ht="1.05">
      <c r="A50" s="1274" t="s">
        <v>211</v>
      </c>
      <c r="B50" s="1274" t="s">
        <v>212</v>
      </c>
      <c r="C50" s="1274" t="s">
        <v>213</v>
      </c>
      <c r="D50" s="1274" t="s">
        <v>214</v>
      </c>
      <c r="E50" s="2310"/>
      <c r="F50" s="2310"/>
      <c r="G50" s="2310"/>
      <c r="H50" s="2310"/>
      <c r="I50" s="2121"/>
      <c r="J50" s="2121"/>
      <c r="K50" s="2147"/>
      <c r="L50" s="1317"/>
      <c r="P50" s="2277"/>
      <c r="Q50" s="2277"/>
      <c r="R50" s="364"/>
      <c r="S50" s="1971"/>
      <c r="T50" s="307"/>
      <c r="U50" s="307"/>
      <c r="V50" s="332"/>
      <c r="W50" s="332"/>
      <c r="X50" s="332"/>
      <c r="Y50" s="335" t="str">
        <f>Z49&amp;"-"&amp;AB49</f>
        <v>-</v>
      </c>
      <c r="Z50" s="2286"/>
      <c r="AA50" s="2127"/>
      <c r="AB50" s="2286"/>
      <c r="AC50" s="2127"/>
      <c r="AD50" s="332"/>
      <c r="AE50" s="332"/>
      <c r="AF50" s="332"/>
      <c r="AG50" s="335" t="str">
        <f>AH49&amp;"-"&amp;AJ49</f>
        <v>-</v>
      </c>
      <c r="AH50" s="2286"/>
      <c r="AI50" s="2127"/>
      <c r="AJ50" s="2308"/>
      <c r="AK50" s="2127"/>
      <c r="AL50" s="1356"/>
      <c r="AM50" s="2274"/>
      <c r="AO50" s="1631"/>
      <c r="AP50" s="1631" t="str">
        <f>IF(T50="","",T50)</f>
        <v/>
      </c>
      <c r="AQ50" s="1631"/>
      <c r="AR50" s="1631"/>
      <c r="AS50" s="1638">
        <v>1</v>
      </c>
    </row>
    <row customHeight="1" ht="11.549999999999999">
      <c r="A51" s="1274" t="s">
        <v>211</v>
      </c>
      <c r="B51" s="1274" t="s">
        <v>212</v>
      </c>
      <c r="C51" s="1274" t="s">
        <v>213</v>
      </c>
      <c r="D51" s="1274" t="s">
        <v>214</v>
      </c>
      <c r="E51" s="2310"/>
      <c r="F51" s="2310"/>
      <c r="G51" s="2310"/>
      <c r="H51" s="2310"/>
      <c r="I51" s="2121"/>
      <c r="J51" s="2147"/>
      <c r="K51" s="1274"/>
      <c r="L51" s="1317"/>
      <c r="P51" s="2277"/>
      <c r="Q51" s="2277"/>
      <c r="R51" s="363"/>
      <c r="S51" s="1285"/>
      <c r="T51" s="295" t="s">
        <v>410</v>
      </c>
      <c r="U51" s="607"/>
      <c r="V51" s="607"/>
      <c r="W51" s="607"/>
      <c r="X51" s="607"/>
      <c r="Y51" s="607"/>
      <c r="Z51" s="607"/>
      <c r="AA51" s="607"/>
      <c r="AB51" s="607"/>
      <c r="AC51" s="607"/>
      <c r="AD51" s="607"/>
      <c r="AE51" s="607"/>
      <c r="AF51" s="607"/>
      <c r="AG51" s="607"/>
      <c r="AH51" s="607"/>
      <c r="AI51" s="607"/>
      <c r="AJ51" s="607"/>
      <c r="AK51" s="607"/>
      <c r="AL51" s="331"/>
      <c r="AM51" s="2275"/>
      <c r="AO51" s="1631"/>
      <c r="AP51" s="1631" t="str">
        <f>IF(T51="","",T51)</f>
        <v>Добавить вид теплоносителя (параметры теплоносителя)</v>
      </c>
      <c r="AQ51" s="1631"/>
      <c r="AR51" s="1631"/>
      <c r="AS51" s="1638">
        <v>11</v>
      </c>
    </row>
    <row customHeight="1" ht="11.549999999999999">
      <c r="A52" s="1274" t="s">
        <v>211</v>
      </c>
      <c r="B52" s="1274" t="s">
        <v>212</v>
      </c>
      <c r="C52" s="1274" t="s">
        <v>213</v>
      </c>
      <c r="D52" s="1274" t="s">
        <v>214</v>
      </c>
      <c r="E52" s="2310"/>
      <c r="F52" s="2310"/>
      <c r="G52" s="2310"/>
      <c r="H52" s="2310"/>
      <c r="I52" s="2147"/>
      <c r="J52" s="1274"/>
      <c r="K52" s="1274"/>
      <c r="L52" s="1317"/>
      <c r="P52" s="2277"/>
      <c r="Q52" s="1958"/>
      <c r="R52" s="363"/>
      <c r="S52" s="1285"/>
      <c r="T52" s="294" t="s">
        <v>411</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211</v>
      </c>
      <c r="B53" s="1274" t="s">
        <v>212</v>
      </c>
      <c r="C53" s="1274" t="s">
        <v>213</v>
      </c>
      <c r="D53" s="1274" t="s">
        <v>214</v>
      </c>
      <c r="E53" s="2310"/>
      <c r="F53" s="2310"/>
      <c r="G53" s="2310"/>
      <c r="H53" s="2309"/>
      <c r="I53" s="1274"/>
      <c r="J53" s="1274"/>
      <c r="K53" s="1274"/>
      <c r="L53" s="1317"/>
      <c r="M53" s="1617"/>
      <c r="N53" s="1617"/>
      <c r="O53" s="1642"/>
      <c r="P53" s="367"/>
      <c r="Q53" s="382"/>
      <c r="R53" s="362"/>
      <c r="S53" s="1285"/>
      <c r="T53" s="372" t="s">
        <v>412</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211</v>
      </c>
      <c r="B54" s="1274" t="s">
        <v>212</v>
      </c>
      <c r="C54" s="1274" t="s">
        <v>213</v>
      </c>
      <c r="D54" s="1978"/>
      <c r="E54" s="2310"/>
      <c r="F54" s="2310"/>
      <c r="G54" s="2309"/>
      <c r="H54" s="1978"/>
      <c r="I54" s="1978"/>
      <c r="J54" s="1978"/>
      <c r="K54" s="1978"/>
      <c r="L54" s="1387"/>
      <c r="M54" s="1617"/>
      <c r="N54" s="1617"/>
      <c r="O54" s="164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211</v>
      </c>
      <c r="B55" s="1274" t="s">
        <v>212</v>
      </c>
      <c r="C55" s="1978"/>
      <c r="D55" s="1978"/>
      <c r="E55" s="2310"/>
      <c r="F55" s="2309"/>
      <c r="G55" s="1978"/>
      <c r="H55" s="1978"/>
      <c r="I55" s="1978"/>
      <c r="J55" s="1978"/>
      <c r="K55" s="1978"/>
      <c r="L55" s="1387"/>
      <c r="M55" s="1979"/>
      <c r="N55" s="1979"/>
      <c r="O55" s="1642"/>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211</v>
      </c>
      <c r="B56" s="1274"/>
      <c r="C56" s="1274"/>
      <c r="D56" s="1274"/>
      <c r="E56" s="2309"/>
      <c r="F56" s="1274"/>
      <c r="G56" s="1274"/>
      <c r="H56" s="1274"/>
      <c r="I56" s="1274"/>
      <c r="J56" s="1274"/>
      <c r="K56" s="1274"/>
      <c r="L56" s="1317"/>
      <c r="M56" s="1979"/>
      <c r="N56" s="1979"/>
      <c r="O56" s="1642"/>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78"/>
      <c r="B57" s="1978"/>
      <c r="C57" s="1978"/>
      <c r="D57" s="1978"/>
      <c r="E57" s="1274"/>
      <c r="F57" s="1978"/>
      <c r="G57" s="1978"/>
      <c r="H57" s="1978"/>
      <c r="I57" s="1978"/>
      <c r="J57" s="1978"/>
      <c r="K57" s="1978"/>
      <c r="L57" s="1387"/>
      <c r="M57" s="1979"/>
      <c r="N57" s="1979"/>
      <c r="O57" s="1642"/>
      <c r="P57" s="1323"/>
      <c r="Q57" s="1324"/>
      <c r="R57" s="1323"/>
      <c r="S57" s="1329"/>
      <c r="T57" s="1332" t="s">
        <v>447</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8">
        <v>27</v>
      </c>
    </row>
    <row customHeight="1" ht="65.25">
      <c r="O60" s="1642"/>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8">
        <v>62</v>
      </c>
    </row>
    <row customHeight="1" ht="14.699999999999998">
      <c r="O61" s="1642"/>
      <c r="AS61" s="1638">
        <v>14</v>
      </c>
    </row>
    <row customHeight="1" ht="18.75">
      <c r="O62" s="1642"/>
      <c r="S62" s="1260"/>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8">
        <v>18</v>
      </c>
    </row>
    <row customHeight="1" ht="18.75">
      <c r="O63" s="1642"/>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8">
        <v>18</v>
      </c>
    </row>
    <row customHeight="1" ht="29.25">
      <c r="O64" s="1642"/>
      <c r="S64" s="1260"/>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3">
        <v>0</v>
      </c>
      <c r="M65" s="1969">
        <v>0</v>
      </c>
      <c r="N65" s="1969">
        <v>0</v>
      </c>
      <c r="O65" s="1969">
        <v>0</v>
      </c>
      <c r="P65" s="1969">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F654C-7994-A1F5-1A58-0.12B51D2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78">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65" t="s">
        <v>395</v>
      </c>
      <c r="AO2" s="507"/>
      <c r="AP2" s="507" t="str">
        <f>IF(T2="","",T2)</f>
        <v>Наименование тарифа</v>
      </c>
      <c r="AQ2" s="507"/>
      <c r="AR2" s="507"/>
      <c r="AS2" s="1162">
        <v>0</v>
      </c>
    </row>
    <row customHeight="1" ht="21" hidden="1">
      <c r="A3" s="1370"/>
      <c r="B3" s="1370"/>
      <c r="C3" s="1370"/>
      <c r="D3" s="1370"/>
      <c r="E3" s="2279"/>
      <c r="F3" s="2278">
        <v>1</v>
      </c>
      <c r="G3" s="1370"/>
      <c r="H3" s="1370"/>
      <c r="I3" s="1370"/>
      <c r="J3" s="1370"/>
      <c r="K3" s="1370"/>
      <c r="L3" s="1371"/>
      <c r="M3" s="1372"/>
      <c r="N3" s="1372"/>
      <c r="O3" s="1372"/>
      <c r="P3" s="1339"/>
      <c r="Q3" s="359"/>
      <c r="R3" s="360"/>
      <c r="S3" s="1343">
        <f>INDEX(PT_DIFFERENTIATION_NUM_TER,MATCH(B3,PT_DIFFERENTIATION_TER_ID,0))</f>
      </c>
      <c r="T3" s="315" t="s">
        <v>396</v>
      </c>
      <c r="U3" s="307"/>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65" t="s">
        <v>397</v>
      </c>
      <c r="AO3" s="507"/>
      <c r="AP3" s="507" t="str">
        <f>IF(T3="","",T3)</f>
        <v>Территория действия тарифа</v>
      </c>
      <c r="AQ3" s="507"/>
      <c r="AR3" s="507"/>
      <c r="AS3" s="1162">
        <v>0</v>
      </c>
    </row>
    <row customHeight="1" ht="23.25" hidden="1">
      <c r="A4" s="1370"/>
      <c r="B4" s="1370"/>
      <c r="C4" s="1370"/>
      <c r="D4" s="1370"/>
      <c r="E4" s="2279"/>
      <c r="F4" s="2279"/>
      <c r="G4" s="2278">
        <v>1</v>
      </c>
      <c r="H4" s="1370"/>
      <c r="I4" s="1370"/>
      <c r="J4" s="1370"/>
      <c r="K4" s="1370"/>
      <c r="L4" s="1371"/>
      <c r="M4" s="1372"/>
      <c r="N4" s="1372"/>
      <c r="O4" s="1372"/>
      <c r="P4" s="361"/>
      <c r="Q4" s="359"/>
      <c r="R4" s="360"/>
      <c r="S4" s="1343">
        <f>INDEX(PT_DIFFERENTIATION_NUM_CS,MATCH(C4,PT_DIFFERENTIATION_CS_ID,0))</f>
      </c>
      <c r="T4" s="316" t="s">
        <v>398</v>
      </c>
      <c r="U4" s="307"/>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65" t="s">
        <v>399</v>
      </c>
      <c r="AO4" s="507"/>
      <c r="AP4" s="507" t="str">
        <f>IF(T4="","",T4)</f>
        <v>Наименование системы теплоснабжения </v>
      </c>
      <c r="AQ4" s="507"/>
      <c r="AR4" s="507"/>
      <c r="AS4" s="1162">
        <v>0</v>
      </c>
    </row>
    <row customHeight="1" ht="21" hidden="1">
      <c r="A5" s="1370"/>
      <c r="B5" s="1370"/>
      <c r="C5" s="1370"/>
      <c r="D5" s="1370"/>
      <c r="E5" s="2279"/>
      <c r="F5" s="2279"/>
      <c r="G5" s="2279"/>
      <c r="H5" s="2278">
        <v>1</v>
      </c>
      <c r="I5" s="1370"/>
      <c r="J5" s="1370"/>
      <c r="K5" s="1370"/>
      <c r="L5" s="1371"/>
      <c r="M5" s="1372"/>
      <c r="N5" s="1372"/>
      <c r="O5" s="1372"/>
      <c r="P5" s="361"/>
      <c r="Q5" s="359"/>
      <c r="R5" s="360"/>
      <c r="S5" s="1343">
        <f>INDEX(PT_DIFFERENTIATION_NUM_IST_TE,MATCH(D5,PT_DIFFERENTIATION_IST_TE_ID,0))</f>
      </c>
      <c r="T5" s="317" t="s">
        <v>400</v>
      </c>
      <c r="U5" s="307"/>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65" t="s">
        <v>401</v>
      </c>
      <c r="AO5" s="507"/>
      <c r="AP5" s="507" t="str">
        <f>IF(T5="","",T5)</f>
        <v>Источник тепловой энергии  </v>
      </c>
      <c r="AQ5" s="507"/>
      <c r="AR5" s="507"/>
      <c r="AS5" s="1162">
        <v>0</v>
      </c>
    </row>
    <row customHeight="1" ht="47.25" hidden="1">
      <c r="A6" s="1370"/>
      <c r="B6" s="1370"/>
      <c r="C6" s="1370"/>
      <c r="D6" s="1370"/>
      <c r="E6" s="2279"/>
      <c r="F6" s="2279"/>
      <c r="G6" s="2279"/>
      <c r="H6" s="2279"/>
      <c r="I6" s="2276">
        <f>S5&amp;".1"</f>
      </c>
      <c r="J6" s="1370"/>
      <c r="K6" s="1370"/>
      <c r="L6" s="1371" t="s">
        <v>402</v>
      </c>
      <c r="M6" s="544"/>
      <c r="P6" s="2277">
        <v>1</v>
      </c>
      <c r="Q6" s="1338"/>
      <c r="R6" s="363"/>
      <c r="S6" s="1343">
        <f>$I6</f>
      </c>
      <c r="T6" s="292" t="s">
        <v>403</v>
      </c>
      <c r="U6" s="307"/>
      <c r="V6" s="2265"/>
      <c r="W6" s="2266"/>
      <c r="X6" s="2266"/>
      <c r="Y6" s="2266"/>
      <c r="Z6" s="2266"/>
      <c r="AA6" s="2266"/>
      <c r="AB6" s="2266"/>
      <c r="AC6" s="2267"/>
      <c r="AD6" s="2265"/>
      <c r="AE6" s="2266"/>
      <c r="AF6" s="2266"/>
      <c r="AG6" s="2266"/>
      <c r="AH6" s="2266"/>
      <c r="AI6" s="2266"/>
      <c r="AJ6" s="2266"/>
      <c r="AK6" s="2266"/>
      <c r="AL6" s="2267"/>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79"/>
      <c r="F7" s="2279"/>
      <c r="G7" s="2279"/>
      <c r="H7" s="2279"/>
      <c r="I7" s="2306"/>
      <c r="J7" s="2276">
        <f>I6&amp;".1"</f>
      </c>
      <c r="K7" s="1370"/>
      <c r="L7" s="1371" t="s">
        <v>405</v>
      </c>
      <c r="M7" s="544"/>
      <c r="N7" s="1373"/>
      <c r="P7" s="2277"/>
      <c r="Q7" s="2277">
        <v>1</v>
      </c>
      <c r="R7" s="364"/>
      <c r="S7" s="1343">
        <f>$J7</f>
      </c>
      <c r="T7" s="293" t="s">
        <v>406</v>
      </c>
      <c r="U7" s="307"/>
      <c r="V7" s="2265"/>
      <c r="W7" s="2266"/>
      <c r="X7" s="2266"/>
      <c r="Y7" s="2266"/>
      <c r="Z7" s="2266"/>
      <c r="AA7" s="2266"/>
      <c r="AB7" s="2266"/>
      <c r="AC7" s="2267"/>
      <c r="AD7" s="2265"/>
      <c r="AE7" s="2266"/>
      <c r="AF7" s="2266"/>
      <c r="AG7" s="2266"/>
      <c r="AH7" s="2266"/>
      <c r="AI7" s="2266"/>
      <c r="AJ7" s="2266"/>
      <c r="AK7" s="2266"/>
      <c r="AL7" s="2267"/>
      <c r="AM7" s="1265" t="s">
        <v>407</v>
      </c>
      <c r="AO7" s="507"/>
      <c r="AP7" s="507" t="str">
        <f>IF(T7="","",T7)</f>
        <v>Группа потребителей</v>
      </c>
      <c r="AQ7" s="507"/>
      <c r="AR7" s="507"/>
      <c r="AS7" s="1162">
        <v>0</v>
      </c>
    </row>
    <row customHeight="1" ht="21" hidden="1">
      <c r="A8" s="1370"/>
      <c r="B8" s="1370"/>
      <c r="C8" s="1370"/>
      <c r="D8" s="1370"/>
      <c r="E8" s="2279"/>
      <c r="F8" s="2279"/>
      <c r="G8" s="2279"/>
      <c r="H8" s="2279"/>
      <c r="I8" s="2306"/>
      <c r="J8" s="2306"/>
      <c r="K8" s="2276">
        <f>J7&amp;".1"</f>
      </c>
      <c r="L8" s="1371" t="s">
        <v>408</v>
      </c>
      <c r="M8" s="544"/>
      <c r="N8" s="1373"/>
      <c r="O8" s="1373"/>
      <c r="P8" s="2277"/>
      <c r="Q8" s="2277"/>
      <c r="R8" s="364">
        <v>1</v>
      </c>
      <c r="S8" s="1343">
        <f>$K8</f>
      </c>
      <c r="T8" s="1354"/>
      <c r="U8" s="307"/>
      <c r="V8" s="332"/>
      <c r="W8" s="758"/>
      <c r="X8" s="332"/>
      <c r="Y8" s="391"/>
      <c r="Z8" s="2285"/>
      <c r="AA8" s="2127" t="s">
        <v>61</v>
      </c>
      <c r="AB8" s="2285"/>
      <c r="AC8" s="2127" t="s">
        <v>61</v>
      </c>
      <c r="AD8" s="332"/>
      <c r="AE8" s="758"/>
      <c r="AF8" s="332"/>
      <c r="AG8" s="391"/>
      <c r="AH8" s="2285"/>
      <c r="AI8" s="2127" t="s">
        <v>61</v>
      </c>
      <c r="AJ8" s="2285"/>
      <c r="AK8" s="2127" t="s">
        <v>61</v>
      </c>
      <c r="AL8" s="332"/>
      <c r="AM8" s="2273" t="s">
        <v>409</v>
      </c>
      <c r="AN8" s="518">
        <f>STRCHECKDATE(V9:AL9)</f>
      </c>
      <c r="AO8" s="507"/>
      <c r="AP8" s="507" t="str">
        <f>IF(T8="","",T8)</f>
        <v/>
      </c>
      <c r="AQ8" s="507"/>
      <c r="AR8" s="507"/>
      <c r="AS8" s="1162">
        <v>0</v>
      </c>
    </row>
    <row customHeight="1" ht="0.75" hidden="1">
      <c r="A9" s="1370"/>
      <c r="B9" s="1370"/>
      <c r="C9" s="1370"/>
      <c r="D9" s="1370"/>
      <c r="E9" s="2279"/>
      <c r="F9" s="2279"/>
      <c r="G9" s="2279"/>
      <c r="H9" s="2279"/>
      <c r="I9" s="2306"/>
      <c r="J9" s="2306"/>
      <c r="K9" s="2276"/>
      <c r="L9" s="1371"/>
      <c r="M9" s="544"/>
      <c r="N9" s="1373"/>
      <c r="O9" s="1373"/>
      <c r="P9" s="2277"/>
      <c r="Q9" s="2277"/>
      <c r="R9" s="364"/>
      <c r="S9" s="1349"/>
      <c r="T9" s="307"/>
      <c r="U9" s="307"/>
      <c r="V9" s="332"/>
      <c r="W9" s="332"/>
      <c r="X9" s="332"/>
      <c r="Y9" s="335" t="str">
        <f>Z8&amp;"-"&amp;AB8</f>
        <v>-</v>
      </c>
      <c r="Z9" s="2286"/>
      <c r="AA9" s="2127"/>
      <c r="AB9" s="2286"/>
      <c r="AC9" s="2127"/>
      <c r="AD9" s="332"/>
      <c r="AE9" s="332"/>
      <c r="AF9" s="332"/>
      <c r="AG9" s="335" t="str">
        <f>AH8&amp;"-"&amp;AJ8</f>
        <v>-</v>
      </c>
      <c r="AH9" s="2286"/>
      <c r="AI9" s="2127"/>
      <c r="AJ9" s="2286"/>
      <c r="AK9" s="2127"/>
      <c r="AL9" s="332"/>
      <c r="AM9" s="2274"/>
      <c r="AO9" s="507"/>
      <c r="AP9" s="507" t="str">
        <f>IF(T9="","",T9)</f>
        <v/>
      </c>
      <c r="AQ9" s="507"/>
      <c r="AR9" s="507"/>
      <c r="AS9" s="1162">
        <v>0</v>
      </c>
    </row>
    <row customHeight="1" ht="15" hidden="1">
      <c r="A10" s="1370"/>
      <c r="B10" s="1370"/>
      <c r="C10" s="1370"/>
      <c r="D10" s="1370"/>
      <c r="E10" s="2279"/>
      <c r="F10" s="2279"/>
      <c r="G10" s="2279"/>
      <c r="H10" s="2279"/>
      <c r="I10" s="2306"/>
      <c r="J10" s="2276"/>
      <c r="K10" s="1370"/>
      <c r="L10" s="1371"/>
      <c r="M10" s="544"/>
      <c r="N10" s="1373"/>
      <c r="P10" s="2277"/>
      <c r="Q10" s="2277"/>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75"/>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79"/>
      <c r="F11" s="2279"/>
      <c r="G11" s="2279"/>
      <c r="H11" s="2279"/>
      <c r="I11" s="2276"/>
      <c r="J11" s="1370"/>
      <c r="K11" s="1370"/>
      <c r="L11" s="1371"/>
      <c r="M11" s="544"/>
      <c r="P11" s="2277"/>
      <c r="Q11" s="1338"/>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79"/>
      <c r="F12" s="2279"/>
      <c r="G12" s="2279"/>
      <c r="H12" s="2278"/>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79"/>
      <c r="F13" s="2279"/>
      <c r="G13" s="2278"/>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79"/>
      <c r="F14" s="2278"/>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78"/>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87"/>
      <c r="AI17" s="2288" t="s">
        <v>61</v>
      </c>
      <c r="AJ17" s="2287"/>
      <c r="AK17" s="2288" t="s">
        <v>61</v>
      </c>
      <c r="AS17" s="1162">
        <v>0</v>
      </c>
    </row>
    <row customHeight="1" ht="14.25" hidden="1">
      <c r="AD18" s="1367"/>
      <c r="AE18" s="1367"/>
      <c r="AF18" s="1367"/>
      <c r="AG18" s="335" t="str">
        <f>AH17&amp;"-"&amp;AJ17</f>
        <v>-</v>
      </c>
      <c r="AH18" s="2288"/>
      <c r="AI18" s="2288"/>
      <c r="AJ18" s="2288"/>
      <c r="AK18" s="2288"/>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50"/>
      <c r="AS26" s="1162">
        <v>28</v>
      </c>
    </row>
    <row customHeight="1" ht="14.699999999999998">
      <c r="Q27" s="383"/>
      <c r="R27" s="383"/>
      <c r="S27" s="2269" t="str">
        <f>IF(org=0,"Не определено",org)</f>
        <v>ИМУП «ПОСЖИЛКОМСЕРВИС»</v>
      </c>
      <c r="T27" s="2269"/>
      <c r="U27" s="2269"/>
      <c r="V27" s="2269"/>
      <c r="W27" s="2269"/>
      <c r="X27" s="2269"/>
      <c r="Y27" s="2269"/>
      <c r="Z27" s="2269"/>
      <c r="AA27" s="2269"/>
      <c r="AB27" s="2269"/>
      <c r="AC27" s="2269"/>
      <c r="AD27" s="2269"/>
      <c r="AE27" s="2269"/>
      <c r="AF27" s="2269"/>
      <c r="AG27" s="2269"/>
      <c r="AH27" s="2269"/>
      <c r="AI27" s="2269"/>
      <c r="AJ27" s="2269"/>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0" t="s">
        <v>41</v>
      </c>
      <c r="T29" s="2270"/>
      <c r="U29" s="1379"/>
      <c r="V29" s="2271" t="str">
        <f>IF(TITLE_NAME_OR_PR_CHANGE="",IF(TITLE_NAME_OR_PR="","",TITLE_NAME_OR_PR),TITLE_NAME_OR_PR_CHANGE)</f>
        <v/>
      </c>
      <c r="W29" s="2271"/>
      <c r="X29" s="2271"/>
      <c r="Y29" s="2271"/>
      <c r="Z29" s="2271"/>
      <c r="AA29" s="2271"/>
      <c r="AB29" s="2271"/>
      <c r="AC29" s="333"/>
      <c r="AD29" s="2271" t="str">
        <f>IF(TITLE_NAME_OR_PR_CHANGE="",IF(TITLE_NAME_OR_PR="","",TITLE_NAME_OR_PR),TITLE_NAME_OR_PR_CHANGE)</f>
        <v/>
      </c>
      <c r="AE29" s="2271"/>
      <c r="AF29" s="2271"/>
      <c r="AG29" s="2271"/>
      <c r="AH29" s="2271"/>
      <c r="AI29" s="2271"/>
      <c r="AJ29" s="2271"/>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422</v>
      </c>
      <c r="T30" s="2270"/>
      <c r="U30" s="1379"/>
      <c r="V30" s="2284" t="str">
        <f>IF(TITLE_DATE_PR_CHANGE="",IF(TITLE_DATE_PR="","",TITLE_DATE_PR),TITLE_DATE_PR_CHANGE)</f>
        <v/>
      </c>
      <c r="W30" s="2284"/>
      <c r="X30" s="2284"/>
      <c r="Y30" s="2284"/>
      <c r="Z30" s="2284"/>
      <c r="AA30" s="2284"/>
      <c r="AB30" s="2284"/>
      <c r="AC30" s="333"/>
      <c r="AD30" s="2284" t="str">
        <f>IF(TITLE_DATE_PR_CHANGE="",IF(TITLE_DATE_PR="","",TITLE_DATE_PR),TITLE_DATE_PR_CHANGE)</f>
        <v/>
      </c>
      <c r="AE30" s="2284"/>
      <c r="AF30" s="2284"/>
      <c r="AG30" s="2284"/>
      <c r="AH30" s="2284"/>
      <c r="AI30" s="2284"/>
      <c r="AJ30" s="2284"/>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0" t="s">
        <v>423</v>
      </c>
      <c r="T31" s="2270"/>
      <c r="U31" s="1379"/>
      <c r="V31" s="2271" t="str">
        <f>IF(TITLE_NUMBER_PR_CHANGE="",IF(TITLE_NUMBER_PR="","",TITLE_NUMBER_PR),TITLE_NUMBER_PR_CHANGE)</f>
        <v/>
      </c>
      <c r="W31" s="2271"/>
      <c r="X31" s="2271"/>
      <c r="Y31" s="2271"/>
      <c r="Z31" s="2271"/>
      <c r="AA31" s="2271"/>
      <c r="AB31" s="2271"/>
      <c r="AC31" s="333"/>
      <c r="AD31" s="2271" t="str">
        <f>IF(TITLE_NUMBER_PR_CHANGE="",IF(TITLE_NUMBER_PR="","",TITLE_NUMBER_PR),TITLE_NUMBER_PR_CHANGE)</f>
        <v/>
      </c>
      <c r="AE31" s="2271"/>
      <c r="AF31" s="2271"/>
      <c r="AG31" s="2271"/>
      <c r="AH31" s="2271"/>
      <c r="AI31" s="2271"/>
      <c r="AJ31" s="2271"/>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0" t="s">
        <v>42</v>
      </c>
      <c r="T32" s="2270"/>
      <c r="U32" s="1379"/>
      <c r="V32" s="2271" t="str">
        <f>IF(TITLE_IST_PUB_CHANGE="",IF(TITLE_IST_PUB="","",TITLE_IST_PUB),TITLE_IST_PUB_CHANGE)</f>
        <v/>
      </c>
      <c r="W32" s="2271"/>
      <c r="X32" s="2271"/>
      <c r="Y32" s="2271"/>
      <c r="Z32" s="2271"/>
      <c r="AA32" s="2271"/>
      <c r="AB32" s="2271"/>
      <c r="AC32" s="333"/>
      <c r="AD32" s="2271" t="str">
        <f>IF(TITLE_IST_PUB_CHANGE="",IF(TITLE_IST_PUB="","",TITLE_IST_PUB),TITLE_IST_PUB_CHANGE)</f>
        <v/>
      </c>
      <c r="AE32" s="2271"/>
      <c r="AF32" s="2271"/>
      <c r="AG32" s="2271"/>
      <c r="AH32" s="2271"/>
      <c r="AI32" s="2271"/>
      <c r="AJ32" s="2271"/>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0" t="s">
        <v>424</v>
      </c>
      <c r="T34" s="2270"/>
      <c r="U34" s="1379"/>
      <c r="V34" s="2284" t="str">
        <f>IF(TITLE_DATE_PR_CHANGE="",IF(TITLE_DATE_PR="","",TITLE_DATE_PR),TITLE_DATE_PR_CHANGE)</f>
        <v/>
      </c>
      <c r="W34" s="2284"/>
      <c r="X34" s="2284"/>
      <c r="Y34" s="2284"/>
      <c r="Z34" s="2284"/>
      <c r="AA34" s="2284"/>
      <c r="AB34" s="2284"/>
      <c r="AC34" s="333"/>
      <c r="AD34" s="2284" t="str">
        <f>IF(TITLE_DATE_PR_CHANGE="",IF(TITLE_DATE_PR="","",TITLE_DATE_PR),TITLE_DATE_PR_CHANGE)</f>
        <v/>
      </c>
      <c r="AE34" s="2284"/>
      <c r="AF34" s="2284"/>
      <c r="AG34" s="2284"/>
      <c r="AH34" s="2284"/>
      <c r="AI34" s="2284"/>
      <c r="AJ34" s="2284"/>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0" t="s">
        <v>425</v>
      </c>
      <c r="T35" s="2270"/>
      <c r="U35" s="1379"/>
      <c r="V35" s="2271" t="str">
        <f>IF(TITLE_NUMBER_PR_CHANGE="",IF(TITLE_NUMBER_PR="","",TITLE_NUMBER_PR),TITLE_NUMBER_PR_CHANGE)</f>
        <v/>
      </c>
      <c r="W35" s="2271"/>
      <c r="X35" s="2271"/>
      <c r="Y35" s="2271"/>
      <c r="Z35" s="2271"/>
      <c r="AA35" s="2271"/>
      <c r="AB35" s="2271"/>
      <c r="AC35" s="333"/>
      <c r="AD35" s="2271" t="str">
        <f>IF(TITLE_NUMBER_PR_CHANGE="",IF(TITLE_NUMBER_PR="","",TITLE_NUMBER_PR),TITLE_NUMBER_PR_CHANGE)</f>
        <v/>
      </c>
      <c r="AE35" s="2271"/>
      <c r="AF35" s="2271"/>
      <c r="AG35" s="2271"/>
      <c r="AH35" s="2271"/>
      <c r="AI35" s="2271"/>
      <c r="AJ35" s="2271"/>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426</v>
      </c>
      <c r="AD36" s="333"/>
      <c r="AE36" s="333"/>
      <c r="AF36" s="333"/>
      <c r="AG36" s="333"/>
      <c r="AH36" s="333"/>
      <c r="AI36" s="333"/>
      <c r="AJ36" s="333"/>
      <c r="AK36" s="285" t="s">
        <v>426</v>
      </c>
      <c r="AN36" s="375"/>
      <c r="AO36" s="375"/>
      <c r="AP36" s="375"/>
      <c r="AQ36" s="375"/>
      <c r="AR36" s="375"/>
      <c r="AS36" s="425">
        <v>0</v>
      </c>
    </row>
    <row customHeight="1" ht="14.699999999999998">
      <c r="Q37" s="383"/>
      <c r="R37" s="383"/>
      <c r="S37" s="1282"/>
      <c r="T37" s="370"/>
      <c r="U37" s="1251"/>
      <c r="V37" s="2272"/>
      <c r="W37" s="2272"/>
      <c r="X37" s="2272"/>
      <c r="Y37" s="2272"/>
      <c r="Z37" s="2272"/>
      <c r="AA37" s="2272"/>
      <c r="AB37" s="2272"/>
      <c r="AC37" s="2272"/>
      <c r="AD37" s="2272"/>
      <c r="AE37" s="2272"/>
      <c r="AF37" s="2272"/>
      <c r="AG37" s="2272"/>
      <c r="AH37" s="2272"/>
      <c r="AI37" s="2272"/>
      <c r="AJ37" s="2272"/>
      <c r="AK37" s="2272"/>
      <c r="AS37" s="1162">
        <v>14</v>
      </c>
    </row>
    <row customHeight="1" ht="14.699999999999998">
      <c r="Q38" s="383"/>
      <c r="R38" s="383"/>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62">
        <v>14</v>
      </c>
    </row>
    <row customHeight="1" ht="14.699999999999998">
      <c r="Q39" s="383"/>
      <c r="R39" s="383"/>
      <c r="S39" s="2293" t="s">
        <v>87</v>
      </c>
      <c r="T39" s="2229" t="s">
        <v>427</v>
      </c>
      <c r="U39" s="308"/>
      <c r="V39" s="2294" t="s">
        <v>428</v>
      </c>
      <c r="W39" s="2295"/>
      <c r="X39" s="2311"/>
      <c r="Y39" s="2311"/>
      <c r="Z39" s="2295"/>
      <c r="AA39" s="2295"/>
      <c r="AB39" s="2296"/>
      <c r="AC39" s="2297" t="s">
        <v>429</v>
      </c>
      <c r="AD39" s="2294" t="s">
        <v>428</v>
      </c>
      <c r="AE39" s="2295"/>
      <c r="AF39" s="2311"/>
      <c r="AG39" s="2311"/>
      <c r="AH39" s="2295"/>
      <c r="AI39" s="2295"/>
      <c r="AJ39" s="2296"/>
      <c r="AK39" s="2297" t="s">
        <v>430</v>
      </c>
      <c r="AL39" s="2300" t="s">
        <v>431</v>
      </c>
      <c r="AM39" s="2147"/>
      <c r="AS39" s="1162">
        <v>14</v>
      </c>
    </row>
    <row customHeight="1" ht="24">
      <c r="Q40" s="383"/>
      <c r="R40" s="383"/>
      <c r="S40" s="2293"/>
      <c r="T40" s="2229"/>
      <c r="U40" s="1038"/>
      <c r="V40" s="2312" t="s">
        <v>432</v>
      </c>
      <c r="W40" s="2314" t="s">
        <v>433</v>
      </c>
      <c r="X40" s="1383" t="s">
        <v>434</v>
      </c>
      <c r="Y40" s="1383"/>
      <c r="Z40" s="2289" t="s">
        <v>435</v>
      </c>
      <c r="AA40" s="2289"/>
      <c r="AB40" s="2283"/>
      <c r="AC40" s="2298"/>
      <c r="AD40" s="2312" t="s">
        <v>432</v>
      </c>
      <c r="AE40" s="2314" t="s">
        <v>433</v>
      </c>
      <c r="AF40" s="1383" t="s">
        <v>434</v>
      </c>
      <c r="AG40" s="1383"/>
      <c r="AH40" s="2289" t="s">
        <v>435</v>
      </c>
      <c r="AI40" s="2289"/>
      <c r="AJ40" s="2283"/>
      <c r="AK40" s="2298"/>
      <c r="AL40" s="2301"/>
      <c r="AM40" s="2147"/>
      <c r="AS40" s="1162">
        <v>23</v>
      </c>
    </row>
    <row s="1273" customFormat="1" customHeight="1" ht="24">
      <c r="A41" s="1377"/>
      <c r="B41" s="1377" t="s">
        <v>136</v>
      </c>
      <c r="C41" s="1377" t="s">
        <v>137</v>
      </c>
      <c r="D41" s="1377" t="s">
        <v>138</v>
      </c>
      <c r="E41" s="1371" t="s">
        <v>436</v>
      </c>
      <c r="F41" s="1371" t="s">
        <v>437</v>
      </c>
      <c r="G41" s="1371" t="s">
        <v>438</v>
      </c>
      <c r="H41" s="1371" t="s">
        <v>439</v>
      </c>
      <c r="I41" s="1371" t="s">
        <v>440</v>
      </c>
      <c r="J41" s="1371" t="s">
        <v>441</v>
      </c>
      <c r="K41" s="1371" t="s">
        <v>442</v>
      </c>
      <c r="L41" s="1371" t="s">
        <v>417</v>
      </c>
      <c r="M41" s="1369"/>
      <c r="N41" s="1369"/>
      <c r="O41" s="1369"/>
      <c r="P41" s="1335"/>
      <c r="Q41" s="383"/>
      <c r="R41" s="383"/>
      <c r="S41" s="2293"/>
      <c r="T41" s="2229"/>
      <c r="U41" s="309"/>
      <c r="V41" s="2313"/>
      <c r="W41" s="2315"/>
      <c r="X41" s="1380" t="s">
        <v>443</v>
      </c>
      <c r="Y41" s="1380" t="s">
        <v>444</v>
      </c>
      <c r="Z41" s="1341" t="s">
        <v>445</v>
      </c>
      <c r="AA41" s="2290" t="s">
        <v>446</v>
      </c>
      <c r="AB41" s="2291"/>
      <c r="AC41" s="2299"/>
      <c r="AD41" s="2313"/>
      <c r="AE41" s="2315"/>
      <c r="AF41" s="1380" t="s">
        <v>443</v>
      </c>
      <c r="AG41" s="1380" t="s">
        <v>444</v>
      </c>
      <c r="AH41" s="1341" t="s">
        <v>445</v>
      </c>
      <c r="AI41" s="2290" t="s">
        <v>446</v>
      </c>
      <c r="AJ41" s="2291"/>
      <c r="AK41" s="2299"/>
      <c r="AL41" s="2302"/>
      <c r="AM41" s="2147"/>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8">
        <f>OFFSET(X42,0,-1)+1</f>
        <v>1</v>
      </c>
      <c r="Y42" s="1348">
        <f>OFFSET(Y42,0,-1)+1</f>
        <v>2</v>
      </c>
      <c r="Z42" s="1342">
        <f>OFFSET(Z42,0,-1)+1</f>
        <v>3</v>
      </c>
      <c r="AA42" s="2292">
        <f>OFFSET(AA42,0,-1)+1</f>
        <v>4</v>
      </c>
      <c r="AB42" s="2292"/>
      <c r="AC42" s="1342">
        <f>OFFSET(AC42,0,-2)+1</f>
        <v>5</v>
      </c>
      <c r="AD42" s="1342">
        <f>OFFSET(AD42,0,-1)+1</f>
        <v>6</v>
      </c>
      <c r="AE42" s="1342"/>
      <c r="AF42" s="1348">
        <f>OFFSET(AF42,0,-1)+1</f>
        <v>1</v>
      </c>
      <c r="AG42" s="1348">
        <f>OFFSET(AG42,0,-1)+1</f>
        <v>2</v>
      </c>
      <c r="AH42" s="1342">
        <f>OFFSET(AH42,0,-1)+1</f>
        <v>3</v>
      </c>
      <c r="AI42" s="2292">
        <f>OFFSET(AI42,0,-1)+1</f>
        <v>4</v>
      </c>
      <c r="AJ42" s="2292"/>
      <c r="AK42" s="1342">
        <f>OFFSET(AK42,0,-2)+1</f>
        <v>5</v>
      </c>
      <c r="AL42" s="1252">
        <f>OFFSET(AL42,0,-1)</f>
        <v>5</v>
      </c>
      <c r="AM42" s="1342">
        <f>OFFSET(AM42,0,-1)+1</f>
        <v>6</v>
      </c>
      <c r="AN42" s="518"/>
      <c r="AO42" s="518"/>
      <c r="AP42" s="518"/>
      <c r="AQ42" s="518"/>
      <c r="AR42" s="518"/>
      <c r="AS42" s="503">
        <v>0</v>
      </c>
    </row>
    <row customHeight="1" ht="22.049999999999997">
      <c r="A43" s="1370" t="s">
        <v>193</v>
      </c>
      <c r="B43" s="1370"/>
      <c r="C43" s="1370"/>
      <c r="D43" s="1370"/>
      <c r="E43" s="2278">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193</v>
      </c>
      <c r="B44" s="1370" t="s">
        <v>194</v>
      </c>
      <c r="C44" s="1370"/>
      <c r="D44" s="1370"/>
      <c r="E44" s="2279"/>
      <c r="F44" s="2278">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65" t="s">
        <v>397</v>
      </c>
      <c r="AO44" s="507"/>
      <c r="AP44" s="507" t="str">
        <f>IF(T44="","",T44)</f>
        <v>Территория действия тарифа</v>
      </c>
      <c r="AQ44" s="507"/>
      <c r="AR44" s="507"/>
      <c r="AS44" s="1162">
        <v>21</v>
      </c>
    </row>
    <row customHeight="1" ht="24">
      <c r="A45" s="1370" t="s">
        <v>193</v>
      </c>
      <c r="B45" s="1370" t="s">
        <v>194</v>
      </c>
      <c r="C45" s="1370" t="s">
        <v>195</v>
      </c>
      <c r="D45" s="1370"/>
      <c r="E45" s="2279"/>
      <c r="F45" s="2279"/>
      <c r="G45" s="2278">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65" t="s">
        <v>399</v>
      </c>
      <c r="AO45" s="507"/>
      <c r="AP45" s="507" t="str">
        <f>IF(T45="","",T45)</f>
        <v>Наименование системы теплоснабжения </v>
      </c>
      <c r="AQ45" s="507"/>
      <c r="AR45" s="507"/>
      <c r="AS45" s="1162">
        <v>23</v>
      </c>
    </row>
    <row customHeight="1" ht="22.049999999999997">
      <c r="A46" s="1370" t="s">
        <v>193</v>
      </c>
      <c r="B46" s="1370" t="s">
        <v>194</v>
      </c>
      <c r="C46" s="1370" t="s">
        <v>195</v>
      </c>
      <c r="D46" s="1370" t="s">
        <v>196</v>
      </c>
      <c r="E46" s="2279"/>
      <c r="F46" s="2279"/>
      <c r="G46" s="2279"/>
      <c r="H46" s="2278">
        <v>1</v>
      </c>
      <c r="I46" s="1370"/>
      <c r="J46" s="1370"/>
      <c r="K46" s="1370"/>
      <c r="L46" s="1371"/>
      <c r="M46" s="1372"/>
      <c r="N46" s="1372"/>
      <c r="O46" s="1372"/>
      <c r="P46" s="361"/>
      <c r="Q46" s="359"/>
      <c r="R46" s="360"/>
      <c r="S46" s="1343" t="str">
        <f>INDEX(PT_DIFFERENTIATION_NUM_IST_TE,MATCH(D46,PT_DIFFERENTIATION_IST_TE_ID,0))</f>
        <v>...</v>
      </c>
      <c r="T46" s="317" t="s">
        <v>400</v>
      </c>
      <c r="U46" s="307"/>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65" t="s">
        <v>401</v>
      </c>
      <c r="AO46" s="507"/>
      <c r="AP46" s="507" t="str">
        <f>IF(T46="","",T46)</f>
        <v>Источник тепловой энергии  </v>
      </c>
      <c r="AQ46" s="507"/>
      <c r="AR46" s="507"/>
      <c r="AS46" s="1162">
        <v>21</v>
      </c>
    </row>
    <row customHeight="1" ht="49.5">
      <c r="A47" s="1370" t="s">
        <v>193</v>
      </c>
      <c r="B47" s="1370" t="s">
        <v>194</v>
      </c>
      <c r="C47" s="1370" t="s">
        <v>195</v>
      </c>
      <c r="D47" s="1370" t="s">
        <v>196</v>
      </c>
      <c r="E47" s="2279"/>
      <c r="F47" s="2279"/>
      <c r="G47" s="2279"/>
      <c r="H47" s="2279"/>
      <c r="I47" s="2276" t="str">
        <f>S46&amp;".1"</f>
        <v>....1</v>
      </c>
      <c r="J47" s="1370"/>
      <c r="K47" s="1370"/>
      <c r="L47" s="1371" t="s">
        <v>402</v>
      </c>
      <c r="P47" s="2277">
        <v>1</v>
      </c>
      <c r="Q47" s="1338"/>
      <c r="R47" s="363"/>
      <c r="S47" s="1343" t="str">
        <f>$I47</f>
        <v>....1</v>
      </c>
      <c r="T47" s="292" t="s">
        <v>403</v>
      </c>
      <c r="U47" s="307"/>
      <c r="V47" s="2265"/>
      <c r="W47" s="2266"/>
      <c r="X47" s="2266"/>
      <c r="Y47" s="2266"/>
      <c r="Z47" s="2266"/>
      <c r="AA47" s="2266"/>
      <c r="AB47" s="2266"/>
      <c r="AC47" s="2267"/>
      <c r="AD47" s="2265"/>
      <c r="AE47" s="2266"/>
      <c r="AF47" s="2266"/>
      <c r="AG47" s="2266"/>
      <c r="AH47" s="2266"/>
      <c r="AI47" s="2266"/>
      <c r="AJ47" s="2266"/>
      <c r="AK47" s="2266"/>
      <c r="AL47" s="2267"/>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193</v>
      </c>
      <c r="B48" s="1370" t="s">
        <v>194</v>
      </c>
      <c r="C48" s="1370" t="s">
        <v>195</v>
      </c>
      <c r="D48" s="1370" t="s">
        <v>196</v>
      </c>
      <c r="E48" s="2279"/>
      <c r="F48" s="2279"/>
      <c r="G48" s="2279"/>
      <c r="H48" s="2279"/>
      <c r="I48" s="2306"/>
      <c r="J48" s="2276" t="str">
        <f>I47&amp;".1"</f>
        <v>....1.1</v>
      </c>
      <c r="K48" s="1370"/>
      <c r="L48" s="1371" t="s">
        <v>405</v>
      </c>
      <c r="P48" s="2277"/>
      <c r="Q48" s="2277">
        <v>1</v>
      </c>
      <c r="R48" s="364"/>
      <c r="S48" s="1343" t="str">
        <f>$J48</f>
        <v>....1.1</v>
      </c>
      <c r="T48" s="293" t="s">
        <v>406</v>
      </c>
      <c r="U48" s="307"/>
      <c r="V48" s="2265"/>
      <c r="W48" s="2266"/>
      <c r="X48" s="2266"/>
      <c r="Y48" s="2266"/>
      <c r="Z48" s="2266"/>
      <c r="AA48" s="2266"/>
      <c r="AB48" s="2266"/>
      <c r="AC48" s="2267"/>
      <c r="AD48" s="2265"/>
      <c r="AE48" s="2266"/>
      <c r="AF48" s="2266"/>
      <c r="AG48" s="2266"/>
      <c r="AH48" s="2266"/>
      <c r="AI48" s="2266"/>
      <c r="AJ48" s="2266"/>
      <c r="AK48" s="2266"/>
      <c r="AL48" s="2267"/>
      <c r="AM48" s="1265" t="s">
        <v>407</v>
      </c>
      <c r="AO48" s="507"/>
      <c r="AP48" s="507" t="str">
        <f>IF(T48="","",T48)</f>
        <v>Группа потребителей</v>
      </c>
      <c r="AQ48" s="507"/>
      <c r="AR48" s="507"/>
      <c r="AS48" s="1162">
        <v>21</v>
      </c>
    </row>
    <row customHeight="1" ht="22.049999999999997">
      <c r="A49" s="1370" t="s">
        <v>193</v>
      </c>
      <c r="B49" s="1370" t="s">
        <v>194</v>
      </c>
      <c r="C49" s="1370" t="s">
        <v>195</v>
      </c>
      <c r="D49" s="1370" t="s">
        <v>196</v>
      </c>
      <c r="E49" s="2279"/>
      <c r="F49" s="2279"/>
      <c r="G49" s="2279"/>
      <c r="H49" s="2279"/>
      <c r="I49" s="2306"/>
      <c r="J49" s="2306"/>
      <c r="K49" s="2276" t="str">
        <f>J48&amp;".1"</f>
        <v>....1.1.1</v>
      </c>
      <c r="L49" s="1371" t="s">
        <v>408</v>
      </c>
      <c r="P49" s="2277"/>
      <c r="Q49" s="2277"/>
      <c r="R49" s="364">
        <v>1</v>
      </c>
      <c r="S49" s="1343" t="str">
        <f>$K49</f>
        <v>....1.1.1</v>
      </c>
      <c r="T49" s="1354"/>
      <c r="U49" s="307"/>
      <c r="V49" s="332"/>
      <c r="W49" s="758"/>
      <c r="X49" s="332"/>
      <c r="Y49" s="391"/>
      <c r="Z49" s="2285"/>
      <c r="AA49" s="2127" t="s">
        <v>61</v>
      </c>
      <c r="AB49" s="2285"/>
      <c r="AC49" s="2127" t="s">
        <v>61</v>
      </c>
      <c r="AD49" s="332"/>
      <c r="AE49" s="758"/>
      <c r="AF49" s="332"/>
      <c r="AG49" s="391"/>
      <c r="AH49" s="2285"/>
      <c r="AI49" s="2127" t="s">
        <v>61</v>
      </c>
      <c r="AJ49" s="2307"/>
      <c r="AK49" s="2127" t="s">
        <v>61</v>
      </c>
      <c r="AL49" s="1355"/>
      <c r="AM49" s="2273" t="s">
        <v>409</v>
      </c>
      <c r="AN49" s="518">
        <f>STRCHECKDATE(V50:AL50)</f>
      </c>
      <c r="AO49" s="507"/>
      <c r="AP49" s="507" t="str">
        <f>IF(T49="","",T49)</f>
        <v/>
      </c>
      <c r="AQ49" s="507"/>
      <c r="AR49" s="507"/>
      <c r="AS49" s="1162">
        <v>21</v>
      </c>
    </row>
    <row customHeight="1" ht="1.05">
      <c r="A50" s="1370" t="s">
        <v>193</v>
      </c>
      <c r="B50" s="1370" t="s">
        <v>194</v>
      </c>
      <c r="C50" s="1370" t="s">
        <v>195</v>
      </c>
      <c r="D50" s="1370" t="s">
        <v>196</v>
      </c>
      <c r="E50" s="2279"/>
      <c r="F50" s="2279"/>
      <c r="G50" s="2279"/>
      <c r="H50" s="2279"/>
      <c r="I50" s="2306"/>
      <c r="J50" s="2306"/>
      <c r="K50" s="2276"/>
      <c r="L50" s="1371"/>
      <c r="P50" s="2277"/>
      <c r="Q50" s="2277"/>
      <c r="R50" s="364"/>
      <c r="S50" s="1349"/>
      <c r="T50" s="307"/>
      <c r="U50" s="307"/>
      <c r="V50" s="332"/>
      <c r="W50" s="332"/>
      <c r="X50" s="332"/>
      <c r="Y50" s="335" t="str">
        <f>Z49&amp;"-"&amp;AB49</f>
        <v>-</v>
      </c>
      <c r="Z50" s="2286"/>
      <c r="AA50" s="2127"/>
      <c r="AB50" s="2286"/>
      <c r="AC50" s="2127"/>
      <c r="AD50" s="332"/>
      <c r="AE50" s="332"/>
      <c r="AF50" s="332"/>
      <c r="AG50" s="335" t="str">
        <f>AH49&amp;"-"&amp;AJ49</f>
        <v>-</v>
      </c>
      <c r="AH50" s="2286"/>
      <c r="AI50" s="2127"/>
      <c r="AJ50" s="2308"/>
      <c r="AK50" s="2127"/>
      <c r="AL50" s="1356"/>
      <c r="AM50" s="2274"/>
      <c r="AO50" s="507"/>
      <c r="AP50" s="507" t="str">
        <f>IF(T50="","",T50)</f>
        <v/>
      </c>
      <c r="AQ50" s="507"/>
      <c r="AR50" s="507"/>
      <c r="AS50" s="1162">
        <v>1</v>
      </c>
    </row>
    <row customHeight="1" ht="11.549999999999999">
      <c r="A51" s="1370" t="s">
        <v>193</v>
      </c>
      <c r="B51" s="1370" t="s">
        <v>194</v>
      </c>
      <c r="C51" s="1370" t="s">
        <v>195</v>
      </c>
      <c r="D51" s="1370" t="s">
        <v>196</v>
      </c>
      <c r="E51" s="2279"/>
      <c r="F51" s="2279"/>
      <c r="G51" s="2279"/>
      <c r="H51" s="2279"/>
      <c r="I51" s="2306"/>
      <c r="J51" s="2276"/>
      <c r="K51" s="1370"/>
      <c r="L51" s="1371"/>
      <c r="P51" s="2277"/>
      <c r="Q51" s="2277"/>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75"/>
      <c r="AO51" s="507"/>
      <c r="AP51" s="507" t="str">
        <f>IF(T51="","",T51)</f>
        <v>Добавить вид теплоносителя (параметры теплоносителя)</v>
      </c>
      <c r="AQ51" s="507"/>
      <c r="AR51" s="507"/>
      <c r="AS51" s="1162">
        <v>11</v>
      </c>
    </row>
    <row customHeight="1" ht="11.549999999999999">
      <c r="A52" s="1370" t="s">
        <v>193</v>
      </c>
      <c r="B52" s="1370" t="s">
        <v>194</v>
      </c>
      <c r="C52" s="1370" t="s">
        <v>195</v>
      </c>
      <c r="D52" s="1370" t="s">
        <v>196</v>
      </c>
      <c r="E52" s="2279"/>
      <c r="F52" s="2279"/>
      <c r="G52" s="2279"/>
      <c r="H52" s="2279"/>
      <c r="I52" s="2276"/>
      <c r="J52" s="1370"/>
      <c r="K52" s="1370"/>
      <c r="L52" s="1371"/>
      <c r="P52" s="2277"/>
      <c r="Q52" s="1338"/>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193</v>
      </c>
      <c r="B53" s="1370" t="s">
        <v>194</v>
      </c>
      <c r="C53" s="1370" t="s">
        <v>195</v>
      </c>
      <c r="D53" s="1370" t="s">
        <v>196</v>
      </c>
      <c r="E53" s="2279"/>
      <c r="F53" s="2279"/>
      <c r="G53" s="2279"/>
      <c r="H53" s="2278"/>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193</v>
      </c>
      <c r="B54" s="1350" t="s">
        <v>194</v>
      </c>
      <c r="C54" s="1350" t="s">
        <v>195</v>
      </c>
      <c r="D54" s="1321"/>
      <c r="E54" s="2279"/>
      <c r="F54" s="2279"/>
      <c r="G54" s="2278"/>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193</v>
      </c>
      <c r="B55" s="1350" t="s">
        <v>194</v>
      </c>
      <c r="C55" s="1321"/>
      <c r="D55" s="1321"/>
      <c r="E55" s="2279"/>
      <c r="F55" s="2278"/>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193</v>
      </c>
      <c r="B56" s="1350"/>
      <c r="C56" s="1350"/>
      <c r="D56" s="1350"/>
      <c r="E56" s="2278"/>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62">
        <v>27</v>
      </c>
    </row>
    <row customHeight="1" ht="78.75">
      <c r="O60" s="54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62">
        <v>75</v>
      </c>
    </row>
    <row customHeight="1" ht="14.699999999999998">
      <c r="O61" s="544"/>
      <c r="AS61" s="1162">
        <v>14</v>
      </c>
    </row>
    <row customHeight="1" ht="18.75">
      <c r="O62" s="544"/>
      <c r="S62" s="1260"/>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62">
        <v>18</v>
      </c>
    </row>
    <row customHeight="1" ht="18.75">
      <c r="O63" s="544"/>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62">
        <v>18</v>
      </c>
    </row>
    <row customHeight="1" ht="39.75">
      <c r="O64" s="544"/>
      <c r="S64" s="1260"/>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62">
        <v>38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C8499-73FD-BD64-EA87-0.DD5D479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27" width="19.140625" hidden="1" customWidth="1"/>
    <col min="13" max="14" style="1782" width="12.28125" hidden="1" customWidth="1"/>
    <col min="15" max="15" style="1782" width="23.421875" hidden="1" customWidth="1"/>
    <col min="16" max="16" style="2417" width="3.7109375" hidden="1" customWidth="1"/>
    <col min="17" max="18" style="351" width="3.00390625" customWidth="1"/>
    <col min="19" max="19" style="2427"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78">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65" t="s">
        <v>395</v>
      </c>
      <c r="AO2" s="507"/>
      <c r="AP2" s="507" t="str">
        <f>IF(T2="","",T2)</f>
        <v>Наименование тарифа</v>
      </c>
      <c r="AQ2" s="507"/>
      <c r="AR2" s="507"/>
      <c r="AS2" s="1162">
        <v>0</v>
      </c>
    </row>
    <row customHeight="1" ht="21" hidden="1">
      <c r="A3" s="1370"/>
      <c r="B3" s="1370"/>
      <c r="C3" s="1370"/>
      <c r="D3" s="1370"/>
      <c r="E3" s="2279"/>
      <c r="F3" s="2278">
        <v>1</v>
      </c>
      <c r="G3" s="1370"/>
      <c r="H3" s="1370"/>
      <c r="I3" s="1370"/>
      <c r="J3" s="1370"/>
      <c r="K3" s="1370"/>
      <c r="L3" s="1371"/>
      <c r="M3" s="1372"/>
      <c r="N3" s="1372"/>
      <c r="O3" s="1372"/>
      <c r="P3" s="1339"/>
      <c r="Q3" s="359"/>
      <c r="R3" s="360"/>
      <c r="S3" s="1343">
        <f>INDEX(PT_DIFFERENTIATION_NUM_TER,MATCH(B3,PT_DIFFERENTIATION_TER_ID,0))</f>
      </c>
      <c r="T3" s="315" t="s">
        <v>396</v>
      </c>
      <c r="U3" s="307"/>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65" t="s">
        <v>397</v>
      </c>
      <c r="AO3" s="507"/>
      <c r="AP3" s="507" t="str">
        <f>IF(T3="","",T3)</f>
        <v>Территория действия тарифа</v>
      </c>
      <c r="AQ3" s="507"/>
      <c r="AR3" s="507"/>
      <c r="AS3" s="1162">
        <v>0</v>
      </c>
    </row>
    <row customHeight="1" ht="23.25" hidden="1">
      <c r="A4" s="1370"/>
      <c r="B4" s="1370"/>
      <c r="C4" s="1370"/>
      <c r="D4" s="1370"/>
      <c r="E4" s="2279"/>
      <c r="F4" s="2279"/>
      <c r="G4" s="2278">
        <v>1</v>
      </c>
      <c r="H4" s="1370"/>
      <c r="I4" s="1370"/>
      <c r="J4" s="1370"/>
      <c r="K4" s="1370"/>
      <c r="L4" s="1371"/>
      <c r="M4" s="1372"/>
      <c r="N4" s="1372"/>
      <c r="O4" s="1372"/>
      <c r="P4" s="361"/>
      <c r="Q4" s="359"/>
      <c r="R4" s="360"/>
      <c r="S4" s="1343">
        <f>INDEX(PT_DIFFERENTIATION_NUM_CS,MATCH(C4,PT_DIFFERENTIATION_CS_ID,0))</f>
      </c>
      <c r="T4" s="316" t="s">
        <v>398</v>
      </c>
      <c r="U4" s="307"/>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65" t="s">
        <v>399</v>
      </c>
      <c r="AO4" s="507"/>
      <c r="AP4" s="507" t="str">
        <f>IF(T4="","",T4)</f>
        <v>Наименование системы теплоснабжения </v>
      </c>
      <c r="AQ4" s="507"/>
      <c r="AR4" s="507"/>
      <c r="AS4" s="1162">
        <v>0</v>
      </c>
    </row>
    <row customHeight="1" ht="21" hidden="1">
      <c r="A5" s="1370"/>
      <c r="B5" s="1370"/>
      <c r="C5" s="1370"/>
      <c r="D5" s="1370"/>
      <c r="E5" s="2279"/>
      <c r="F5" s="2279"/>
      <c r="G5" s="2279"/>
      <c r="H5" s="2278">
        <v>1</v>
      </c>
      <c r="I5" s="1370"/>
      <c r="J5" s="1370"/>
      <c r="K5" s="1370"/>
      <c r="L5" s="1371"/>
      <c r="M5" s="1372"/>
      <c r="N5" s="1372"/>
      <c r="O5" s="1372"/>
      <c r="P5" s="361"/>
      <c r="Q5" s="359"/>
      <c r="R5" s="360"/>
      <c r="S5" s="1343">
        <f>INDEX(PT_DIFFERENTIATION_NUM_IST_TE,MATCH(D5,PT_DIFFERENTIATION_IST_TE_ID,0))</f>
      </c>
      <c r="T5" s="317" t="s">
        <v>400</v>
      </c>
      <c r="U5" s="307"/>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65" t="s">
        <v>401</v>
      </c>
      <c r="AO5" s="507"/>
      <c r="AP5" s="507" t="str">
        <f>IF(T5="","",T5)</f>
        <v>Источник тепловой энергии  </v>
      </c>
      <c r="AQ5" s="507"/>
      <c r="AR5" s="507"/>
      <c r="AS5" s="1162">
        <v>0</v>
      </c>
    </row>
    <row customHeight="1" ht="14.25" hidden="1">
      <c r="A6" s="1370"/>
      <c r="B6" s="1370"/>
      <c r="C6" s="1370"/>
      <c r="D6" s="1370"/>
      <c r="E6" s="2279"/>
      <c r="F6" s="2279"/>
      <c r="G6" s="2279"/>
      <c r="H6" s="2279"/>
      <c r="I6" s="2276">
        <f>S5&amp;".1"</f>
      </c>
      <c r="J6" s="1370"/>
      <c r="K6" s="1370"/>
      <c r="L6" s="1371" t="s">
        <v>402</v>
      </c>
      <c r="M6" s="544"/>
      <c r="P6" s="2277">
        <v>1</v>
      </c>
      <c r="Q6" s="1338"/>
      <c r="R6" s="363"/>
      <c r="S6" s="1049"/>
      <c r="T6" s="1390"/>
      <c r="U6" s="1391"/>
      <c r="V6" s="2316"/>
      <c r="W6" s="2317"/>
      <c r="X6" s="2317"/>
      <c r="Y6" s="2317"/>
      <c r="Z6" s="2317"/>
      <c r="AA6" s="2317"/>
      <c r="AB6" s="2317"/>
      <c r="AC6" s="2318"/>
      <c r="AD6" s="2316"/>
      <c r="AE6" s="2317"/>
      <c r="AF6" s="2317"/>
      <c r="AG6" s="2317"/>
      <c r="AH6" s="2317"/>
      <c r="AI6" s="2317"/>
      <c r="AJ6" s="2317"/>
      <c r="AK6" s="2317"/>
      <c r="AL6" s="2318"/>
      <c r="AM6" s="1392"/>
      <c r="AO6" s="507"/>
      <c r="AP6" s="507" t="str">
        <f>IF(T6="","",T6)</f>
        <v/>
      </c>
      <c r="AQ6" s="507"/>
      <c r="AR6" s="507"/>
      <c r="AS6" s="1162">
        <v>0</v>
      </c>
    </row>
    <row customHeight="1" ht="21" hidden="1">
      <c r="A7" s="1370"/>
      <c r="B7" s="1370"/>
      <c r="C7" s="1370"/>
      <c r="D7" s="1370"/>
      <c r="E7" s="2279"/>
      <c r="F7" s="2279"/>
      <c r="G7" s="2279"/>
      <c r="H7" s="2279"/>
      <c r="I7" s="2306"/>
      <c r="J7" s="2276">
        <f>I6&amp;".1"</f>
      </c>
      <c r="K7" s="1370"/>
      <c r="L7" s="1371" t="s">
        <v>405</v>
      </c>
      <c r="M7" s="544"/>
      <c r="N7" s="1373"/>
      <c r="P7" s="2277"/>
      <c r="Q7" s="2277">
        <v>1</v>
      </c>
      <c r="R7" s="364"/>
      <c r="S7" s="1343">
        <f>$J7</f>
      </c>
      <c r="T7" s="293" t="s">
        <v>406</v>
      </c>
      <c r="U7" s="307"/>
      <c r="V7" s="2265"/>
      <c r="W7" s="2266"/>
      <c r="X7" s="2266"/>
      <c r="Y7" s="2266"/>
      <c r="Z7" s="2266"/>
      <c r="AA7" s="2266"/>
      <c r="AB7" s="2266"/>
      <c r="AC7" s="2267"/>
      <c r="AD7" s="2265"/>
      <c r="AE7" s="2266"/>
      <c r="AF7" s="2266"/>
      <c r="AG7" s="2266"/>
      <c r="AH7" s="2266"/>
      <c r="AI7" s="2266"/>
      <c r="AJ7" s="2266"/>
      <c r="AK7" s="2266"/>
      <c r="AL7" s="2267"/>
      <c r="AM7" s="1265" t="s">
        <v>407</v>
      </c>
      <c r="AO7" s="507"/>
      <c r="AP7" s="507" t="str">
        <f>IF(T7="","",T7)</f>
        <v>Группа потребителей</v>
      </c>
      <c r="AQ7" s="507"/>
      <c r="AR7" s="507"/>
      <c r="AS7" s="1162">
        <v>0</v>
      </c>
    </row>
    <row customHeight="1" ht="21" hidden="1">
      <c r="A8" s="1370"/>
      <c r="B8" s="1370"/>
      <c r="C8" s="1370"/>
      <c r="D8" s="1370"/>
      <c r="E8" s="2279"/>
      <c r="F8" s="2279"/>
      <c r="G8" s="2279"/>
      <c r="H8" s="2279"/>
      <c r="I8" s="2306"/>
      <c r="J8" s="2306"/>
      <c r="K8" s="2276">
        <f>J7&amp;".1"</f>
      </c>
      <c r="L8" s="1371" t="s">
        <v>408</v>
      </c>
      <c r="M8" s="544"/>
      <c r="N8" s="1373"/>
      <c r="O8" s="1373"/>
      <c r="P8" s="2277"/>
      <c r="Q8" s="2277"/>
      <c r="R8" s="364">
        <v>1</v>
      </c>
      <c r="S8" s="1343">
        <f>$K8</f>
      </c>
      <c r="T8" s="1354"/>
      <c r="U8" s="307"/>
      <c r="V8" s="758"/>
      <c r="W8" s="332"/>
      <c r="X8" s="758"/>
      <c r="Y8" s="1264"/>
      <c r="Z8" s="2285"/>
      <c r="AA8" s="2127" t="s">
        <v>61</v>
      </c>
      <c r="AB8" s="2285"/>
      <c r="AC8" s="2127" t="s">
        <v>61</v>
      </c>
      <c r="AD8" s="758"/>
      <c r="AE8" s="332"/>
      <c r="AF8" s="758"/>
      <c r="AG8" s="1264"/>
      <c r="AH8" s="2285"/>
      <c r="AI8" s="2127" t="s">
        <v>61</v>
      </c>
      <c r="AJ8" s="2285"/>
      <c r="AK8" s="2127" t="s">
        <v>61</v>
      </c>
      <c r="AL8" s="332"/>
      <c r="AM8" s="2273" t="s">
        <v>409</v>
      </c>
      <c r="AN8" s="518">
        <f>STRCHECKDATE(V9:AL9)</f>
      </c>
      <c r="AO8" s="507"/>
      <c r="AP8" s="507" t="str">
        <f>IF(T8="","",T8)</f>
        <v/>
      </c>
      <c r="AQ8" s="507"/>
      <c r="AR8" s="507"/>
      <c r="AS8" s="1162">
        <v>0</v>
      </c>
    </row>
    <row customHeight="1" ht="0.75" hidden="1">
      <c r="A9" s="1370"/>
      <c r="B9" s="1370"/>
      <c r="C9" s="1370"/>
      <c r="D9" s="1370"/>
      <c r="E9" s="2279"/>
      <c r="F9" s="2279"/>
      <c r="G9" s="2279"/>
      <c r="H9" s="2279"/>
      <c r="I9" s="2306"/>
      <c r="J9" s="2306"/>
      <c r="K9" s="2276"/>
      <c r="L9" s="1371"/>
      <c r="M9" s="544"/>
      <c r="N9" s="1373"/>
      <c r="O9" s="1373"/>
      <c r="P9" s="2277"/>
      <c r="Q9" s="2277"/>
      <c r="R9" s="364"/>
      <c r="S9" s="1349"/>
      <c r="T9" s="307"/>
      <c r="U9" s="307"/>
      <c r="V9" s="332"/>
      <c r="W9" s="332"/>
      <c r="X9" s="332"/>
      <c r="Y9" s="335" t="str">
        <f>Z8&amp;"-"&amp;AB8</f>
        <v>-</v>
      </c>
      <c r="Z9" s="2286"/>
      <c r="AA9" s="2127"/>
      <c r="AB9" s="2286"/>
      <c r="AC9" s="2127"/>
      <c r="AD9" s="332"/>
      <c r="AE9" s="332"/>
      <c r="AF9" s="332"/>
      <c r="AG9" s="335" t="str">
        <f>AH8&amp;"-"&amp;AJ8</f>
        <v>-</v>
      </c>
      <c r="AH9" s="2286"/>
      <c r="AI9" s="2127"/>
      <c r="AJ9" s="2286"/>
      <c r="AK9" s="2127"/>
      <c r="AL9" s="332"/>
      <c r="AM9" s="2274"/>
      <c r="AO9" s="507"/>
      <c r="AP9" s="507" t="str">
        <f>IF(T9="","",T9)</f>
        <v/>
      </c>
      <c r="AQ9" s="507"/>
      <c r="AR9" s="507"/>
      <c r="AS9" s="1162">
        <v>0</v>
      </c>
    </row>
    <row customHeight="1" ht="15" hidden="1">
      <c r="A10" s="1370"/>
      <c r="B10" s="1370"/>
      <c r="C10" s="1370"/>
      <c r="D10" s="1370"/>
      <c r="E10" s="2279"/>
      <c r="F10" s="2279"/>
      <c r="G10" s="2279"/>
      <c r="H10" s="2279"/>
      <c r="I10" s="2306"/>
      <c r="J10" s="2276"/>
      <c r="K10" s="1370"/>
      <c r="L10" s="1371"/>
      <c r="M10" s="544"/>
      <c r="N10" s="1373"/>
      <c r="P10" s="2277"/>
      <c r="Q10" s="2277"/>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75"/>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79"/>
      <c r="F11" s="2279"/>
      <c r="G11" s="2279"/>
      <c r="H11" s="2279"/>
      <c r="I11" s="2276"/>
      <c r="J11" s="1370"/>
      <c r="K11" s="1370"/>
      <c r="L11" s="1371"/>
      <c r="M11" s="544"/>
      <c r="P11" s="2277"/>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79"/>
      <c r="F12" s="2279"/>
      <c r="G12" s="2279"/>
      <c r="H12" s="2278"/>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79"/>
      <c r="F13" s="2279"/>
      <c r="G13" s="2278"/>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79"/>
      <c r="F14" s="2278"/>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78"/>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87"/>
      <c r="AI17" s="2288" t="s">
        <v>61</v>
      </c>
      <c r="AJ17" s="2287"/>
      <c r="AK17" s="2288" t="s">
        <v>61</v>
      </c>
      <c r="AS17" s="1162">
        <v>0</v>
      </c>
    </row>
    <row customHeight="1" ht="14.25" hidden="1">
      <c r="AD18" s="1367"/>
      <c r="AE18" s="1367"/>
      <c r="AF18" s="1367"/>
      <c r="AG18" s="335" t="str">
        <f>AH17&amp;"-"&amp;AJ17</f>
        <v>-</v>
      </c>
      <c r="AH18" s="2288"/>
      <c r="AI18" s="2288"/>
      <c r="AJ18" s="2288"/>
      <c r="AK18" s="2288"/>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50"/>
      <c r="AS26" s="1162">
        <v>60</v>
      </c>
    </row>
    <row customHeight="1" ht="14.699999999999998">
      <c r="Q27" s="383"/>
      <c r="R27" s="383"/>
      <c r="S27" s="2269" t="str">
        <f>IF(org=0,"Не определено",org)</f>
        <v>ИМУП «ПОСЖИЛКОМСЕРВИС»</v>
      </c>
      <c r="T27" s="2269"/>
      <c r="U27" s="2269"/>
      <c r="V27" s="2269"/>
      <c r="W27" s="2269"/>
      <c r="X27" s="2269"/>
      <c r="Y27" s="2269"/>
      <c r="Z27" s="2269"/>
      <c r="AA27" s="2269"/>
      <c r="AB27" s="2269"/>
      <c r="AC27" s="2269"/>
      <c r="AD27" s="2269"/>
      <c r="AE27" s="2269"/>
      <c r="AF27" s="2269"/>
      <c r="AG27" s="2269"/>
      <c r="AH27" s="2269"/>
      <c r="AI27" s="2269"/>
      <c r="AJ27" s="2269"/>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0" t="s">
        <v>41</v>
      </c>
      <c r="T29" s="2270"/>
      <c r="U29" s="1379"/>
      <c r="V29" s="2271" t="str">
        <f>IF(TITLE_NAME_OR_PR_CHANGE="",IF(TITLE_NAME_OR_PR="","",TITLE_NAME_OR_PR),TITLE_NAME_OR_PR_CHANGE)</f>
        <v/>
      </c>
      <c r="W29" s="2271"/>
      <c r="X29" s="2271"/>
      <c r="Y29" s="2271"/>
      <c r="Z29" s="2271"/>
      <c r="AA29" s="2271"/>
      <c r="AB29" s="2271"/>
      <c r="AC29" s="333"/>
      <c r="AD29" s="2271" t="str">
        <f>IF(TITLE_NAME_OR_PR_CHANGE="",IF(TITLE_NAME_OR_PR="","",TITLE_NAME_OR_PR),TITLE_NAME_OR_PR_CHANGE)</f>
        <v/>
      </c>
      <c r="AE29" s="2271"/>
      <c r="AF29" s="2271"/>
      <c r="AG29" s="2271"/>
      <c r="AH29" s="2271"/>
      <c r="AI29" s="2271"/>
      <c r="AJ29" s="2271"/>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422</v>
      </c>
      <c r="T30" s="2270"/>
      <c r="U30" s="1379"/>
      <c r="V30" s="2284" t="str">
        <f>IF(TITLE_DATE_PR_CHANGE="",IF(TITLE_DATE_PR="","",TITLE_DATE_PR),TITLE_DATE_PR_CHANGE)</f>
        <v/>
      </c>
      <c r="W30" s="2284"/>
      <c r="X30" s="2284"/>
      <c r="Y30" s="2284"/>
      <c r="Z30" s="2284"/>
      <c r="AA30" s="2284"/>
      <c r="AB30" s="2284"/>
      <c r="AC30" s="333"/>
      <c r="AD30" s="2284" t="str">
        <f>IF(TITLE_DATE_PR_CHANGE="",IF(TITLE_DATE_PR="","",TITLE_DATE_PR),TITLE_DATE_PR_CHANGE)</f>
        <v/>
      </c>
      <c r="AE30" s="2284"/>
      <c r="AF30" s="2284"/>
      <c r="AG30" s="2284"/>
      <c r="AH30" s="2284"/>
      <c r="AI30" s="2284"/>
      <c r="AJ30" s="2284"/>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0" t="s">
        <v>423</v>
      </c>
      <c r="T31" s="2270"/>
      <c r="U31" s="1379"/>
      <c r="V31" s="2271" t="str">
        <f>IF(TITLE_NUMBER_PR_CHANGE="",IF(TITLE_NUMBER_PR="","",TITLE_NUMBER_PR),TITLE_NUMBER_PR_CHANGE)</f>
        <v/>
      </c>
      <c r="W31" s="2271"/>
      <c r="X31" s="2271"/>
      <c r="Y31" s="2271"/>
      <c r="Z31" s="2271"/>
      <c r="AA31" s="2271"/>
      <c r="AB31" s="2271"/>
      <c r="AC31" s="333"/>
      <c r="AD31" s="2271" t="str">
        <f>IF(TITLE_NUMBER_PR_CHANGE="",IF(TITLE_NUMBER_PR="","",TITLE_NUMBER_PR),TITLE_NUMBER_PR_CHANGE)</f>
        <v/>
      </c>
      <c r="AE31" s="2271"/>
      <c r="AF31" s="2271"/>
      <c r="AG31" s="2271"/>
      <c r="AH31" s="2271"/>
      <c r="AI31" s="2271"/>
      <c r="AJ31" s="2271"/>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0" t="s">
        <v>42</v>
      </c>
      <c r="T32" s="2270"/>
      <c r="U32" s="1379"/>
      <c r="V32" s="2271" t="str">
        <f>IF(TITLE_IST_PUB_CHANGE="",IF(TITLE_IST_PUB="","",TITLE_IST_PUB),TITLE_IST_PUB_CHANGE)</f>
        <v/>
      </c>
      <c r="W32" s="2271"/>
      <c r="X32" s="2271"/>
      <c r="Y32" s="2271"/>
      <c r="Z32" s="2271"/>
      <c r="AA32" s="2271"/>
      <c r="AB32" s="2271"/>
      <c r="AC32" s="333"/>
      <c r="AD32" s="2271" t="str">
        <f>IF(TITLE_IST_PUB_CHANGE="",IF(TITLE_IST_PUB="","",TITLE_IST_PUB),TITLE_IST_PUB_CHANGE)</f>
        <v/>
      </c>
      <c r="AE32" s="2271"/>
      <c r="AF32" s="2271"/>
      <c r="AG32" s="2271"/>
      <c r="AH32" s="2271"/>
      <c r="AI32" s="2271"/>
      <c r="AJ32" s="2271"/>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0" t="s">
        <v>424</v>
      </c>
      <c r="T34" s="2270"/>
      <c r="U34" s="1379"/>
      <c r="V34" s="2284" t="str">
        <f>IF(TITLE_DATE_PR_CHANGE="",IF(TITLE_DATE_PR="","",TITLE_DATE_PR),TITLE_DATE_PR_CHANGE)</f>
        <v/>
      </c>
      <c r="W34" s="2284"/>
      <c r="X34" s="2284"/>
      <c r="Y34" s="2284"/>
      <c r="Z34" s="2284"/>
      <c r="AA34" s="2284"/>
      <c r="AB34" s="2284"/>
      <c r="AC34" s="333"/>
      <c r="AD34" s="2284" t="str">
        <f>IF(TITLE_DATE_PR_CHANGE="",IF(TITLE_DATE_PR="","",TITLE_DATE_PR),TITLE_DATE_PR_CHANGE)</f>
        <v/>
      </c>
      <c r="AE34" s="2284"/>
      <c r="AF34" s="2284"/>
      <c r="AG34" s="2284"/>
      <c r="AH34" s="2284"/>
      <c r="AI34" s="2284"/>
      <c r="AJ34" s="2284"/>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0" t="s">
        <v>425</v>
      </c>
      <c r="T35" s="2270"/>
      <c r="U35" s="1379"/>
      <c r="V35" s="2271" t="str">
        <f>IF(TITLE_NUMBER_PR_CHANGE="",IF(TITLE_NUMBER_PR="","",TITLE_NUMBER_PR),TITLE_NUMBER_PR_CHANGE)</f>
        <v/>
      </c>
      <c r="W35" s="2271"/>
      <c r="X35" s="2271"/>
      <c r="Y35" s="2271"/>
      <c r="Z35" s="2271"/>
      <c r="AA35" s="2271"/>
      <c r="AB35" s="2271"/>
      <c r="AC35" s="333"/>
      <c r="AD35" s="2271" t="str">
        <f>IF(TITLE_NUMBER_PR_CHANGE="",IF(TITLE_NUMBER_PR="","",TITLE_NUMBER_PR),TITLE_NUMBER_PR_CHANGE)</f>
        <v/>
      </c>
      <c r="AE35" s="2271"/>
      <c r="AF35" s="2271"/>
      <c r="AG35" s="2271"/>
      <c r="AH35" s="2271"/>
      <c r="AI35" s="2271"/>
      <c r="AJ35" s="2271"/>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426</v>
      </c>
      <c r="AD36" s="333"/>
      <c r="AE36" s="333"/>
      <c r="AF36" s="333"/>
      <c r="AG36" s="333"/>
      <c r="AH36" s="333"/>
      <c r="AI36" s="333"/>
      <c r="AJ36" s="333"/>
      <c r="AK36" s="285" t="s">
        <v>426</v>
      </c>
      <c r="AN36" s="375"/>
      <c r="AO36" s="375"/>
      <c r="AP36" s="375"/>
      <c r="AQ36" s="375"/>
      <c r="AR36" s="375"/>
      <c r="AS36" s="425">
        <v>0</v>
      </c>
    </row>
    <row customHeight="1" ht="14.699999999999998">
      <c r="Q37" s="383"/>
      <c r="R37" s="383"/>
      <c r="S37" s="1282"/>
      <c r="T37" s="370"/>
      <c r="U37" s="1251"/>
      <c r="V37" s="2272"/>
      <c r="W37" s="2272"/>
      <c r="X37" s="2272"/>
      <c r="Y37" s="2272"/>
      <c r="Z37" s="2272"/>
      <c r="AA37" s="2272"/>
      <c r="AB37" s="2272"/>
      <c r="AC37" s="2272"/>
      <c r="AD37" s="2272"/>
      <c r="AE37" s="2272"/>
      <c r="AF37" s="2272"/>
      <c r="AG37" s="2272"/>
      <c r="AH37" s="2272"/>
      <c r="AI37" s="2272"/>
      <c r="AJ37" s="2272"/>
      <c r="AK37" s="2272"/>
      <c r="AS37" s="1162">
        <v>14</v>
      </c>
    </row>
    <row customHeight="1" ht="14.699999999999998">
      <c r="Q38" s="383"/>
      <c r="R38" s="383"/>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62">
        <v>14</v>
      </c>
    </row>
    <row customHeight="1" ht="14.699999999999998">
      <c r="Q39" s="383"/>
      <c r="R39" s="383"/>
      <c r="S39" s="2293" t="s">
        <v>87</v>
      </c>
      <c r="T39" s="2229" t="s">
        <v>427</v>
      </c>
      <c r="U39" s="308"/>
      <c r="V39" s="2294" t="s">
        <v>428</v>
      </c>
      <c r="W39" s="2295"/>
      <c r="X39" s="2295"/>
      <c r="Y39" s="2295"/>
      <c r="Z39" s="2295"/>
      <c r="AA39" s="2295"/>
      <c r="AB39" s="2296"/>
      <c r="AC39" s="2297" t="s">
        <v>429</v>
      </c>
      <c r="AD39" s="2294" t="s">
        <v>428</v>
      </c>
      <c r="AE39" s="2295"/>
      <c r="AF39" s="2295"/>
      <c r="AG39" s="2295"/>
      <c r="AH39" s="2295"/>
      <c r="AI39" s="2295"/>
      <c r="AJ39" s="2296"/>
      <c r="AK39" s="2297" t="s">
        <v>430</v>
      </c>
      <c r="AL39" s="2300" t="s">
        <v>431</v>
      </c>
      <c r="AM39" s="2147"/>
      <c r="AS39" s="1162">
        <v>14</v>
      </c>
    </row>
    <row customHeight="1" ht="35.699999999999996">
      <c r="Q40" s="383"/>
      <c r="R40" s="383"/>
      <c r="S40" s="2293"/>
      <c r="T40" s="2229"/>
      <c r="U40" s="1038"/>
      <c r="V40" s="2280" t="s">
        <v>432</v>
      </c>
      <c r="W40" s="2303"/>
      <c r="X40" s="2282" t="s">
        <v>434</v>
      </c>
      <c r="Y40" s="2283"/>
      <c r="Z40" s="2282" t="s">
        <v>435</v>
      </c>
      <c r="AA40" s="2289"/>
      <c r="AB40" s="2283"/>
      <c r="AC40" s="2298"/>
      <c r="AD40" s="2280" t="s">
        <v>449</v>
      </c>
      <c r="AE40" s="2303"/>
      <c r="AF40" s="2282" t="s">
        <v>434</v>
      </c>
      <c r="AG40" s="2283"/>
      <c r="AH40" s="2282" t="s">
        <v>435</v>
      </c>
      <c r="AI40" s="2289"/>
      <c r="AJ40" s="2283"/>
      <c r="AK40" s="2298"/>
      <c r="AL40" s="2301"/>
      <c r="AM40" s="2147"/>
      <c r="AS40" s="1162">
        <v>34</v>
      </c>
    </row>
    <row customHeight="1" ht="35.699999999999996">
      <c r="A41" s="1377"/>
      <c r="B41" s="1377" t="s">
        <v>136</v>
      </c>
      <c r="C41" s="1377" t="s">
        <v>137</v>
      </c>
      <c r="D41" s="1377" t="s">
        <v>138</v>
      </c>
      <c r="E41" s="1371" t="s">
        <v>436</v>
      </c>
      <c r="F41" s="1371" t="s">
        <v>437</v>
      </c>
      <c r="G41" s="1371" t="s">
        <v>438</v>
      </c>
      <c r="H41" s="1371" t="s">
        <v>439</v>
      </c>
      <c r="I41" s="1371" t="s">
        <v>440</v>
      </c>
      <c r="J41" s="1371" t="s">
        <v>441</v>
      </c>
      <c r="K41" s="1371" t="s">
        <v>442</v>
      </c>
      <c r="L41" s="1371" t="s">
        <v>417</v>
      </c>
      <c r="Q41" s="383"/>
      <c r="R41" s="383"/>
      <c r="S41" s="2293"/>
      <c r="T41" s="2229"/>
      <c r="U41" s="309"/>
      <c r="V41" s="2281"/>
      <c r="W41" s="2304"/>
      <c r="X41" s="1229" t="s">
        <v>443</v>
      </c>
      <c r="Y41" s="1229" t="s">
        <v>444</v>
      </c>
      <c r="Z41" s="1345" t="s">
        <v>445</v>
      </c>
      <c r="AA41" s="2290" t="s">
        <v>446</v>
      </c>
      <c r="AB41" s="2291"/>
      <c r="AC41" s="2299"/>
      <c r="AD41" s="2281"/>
      <c r="AE41" s="2304"/>
      <c r="AF41" s="1229" t="s">
        <v>443</v>
      </c>
      <c r="AG41" s="1229" t="s">
        <v>444</v>
      </c>
      <c r="AH41" s="1345" t="s">
        <v>445</v>
      </c>
      <c r="AI41" s="2290" t="s">
        <v>446</v>
      </c>
      <c r="AJ41" s="2291"/>
      <c r="AK41" s="2299"/>
      <c r="AL41" s="2302"/>
      <c r="AM41" s="2147"/>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92">
        <f>OFFSET(AA42,0,-1)+1</f>
        <v>4</v>
      </c>
      <c r="AB42" s="2292"/>
      <c r="AC42" s="1342">
        <f>OFFSET(AC42,0,-2)+1</f>
        <v>5</v>
      </c>
      <c r="AD42" s="1342">
        <f>OFFSET(AD42,0,-1)+1</f>
        <v>6</v>
      </c>
      <c r="AE42" s="1342"/>
      <c r="AF42" s="1342">
        <f>OFFSET(AF42,0,-1)+1</f>
        <v>1</v>
      </c>
      <c r="AG42" s="1342">
        <f>OFFSET(AG42,0,-1)+1</f>
        <v>2</v>
      </c>
      <c r="AH42" s="1342">
        <f>OFFSET(AH42,0,-1)+1</f>
        <v>3</v>
      </c>
      <c r="AI42" s="2292">
        <f>OFFSET(AI42,0,-1)+1</f>
        <v>4</v>
      </c>
      <c r="AJ42" s="2292"/>
      <c r="AK42" s="1342">
        <f>OFFSET(AK42,0,-2)+1</f>
        <v>5</v>
      </c>
      <c r="AL42" s="1252">
        <f>OFFSET(AL42,0,-1)</f>
        <v>5</v>
      </c>
      <c r="AM42" s="1342">
        <f>OFFSET(AM42,0,-1)+1</f>
        <v>6</v>
      </c>
      <c r="AN42" s="518"/>
      <c r="AO42" s="518"/>
      <c r="AP42" s="518"/>
      <c r="AQ42" s="518"/>
      <c r="AR42" s="518"/>
      <c r="AS42" s="503">
        <v>0</v>
      </c>
    </row>
    <row customHeight="1" ht="22.049999999999997">
      <c r="A43" s="1370" t="s">
        <v>169</v>
      </c>
      <c r="B43" s="1370"/>
      <c r="C43" s="1370"/>
      <c r="D43" s="1370"/>
      <c r="E43" s="2278">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169</v>
      </c>
      <c r="B44" s="1370" t="s">
        <v>170</v>
      </c>
      <c r="C44" s="1370"/>
      <c r="D44" s="1370"/>
      <c r="E44" s="2279"/>
      <c r="F44" s="2278">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65" t="s">
        <v>397</v>
      </c>
      <c r="AO44" s="507"/>
      <c r="AP44" s="507" t="str">
        <f>IF(T44="","",T44)</f>
        <v>Территория действия тарифа</v>
      </c>
      <c r="AQ44" s="507"/>
      <c r="AR44" s="507"/>
      <c r="AS44" s="1162">
        <v>21</v>
      </c>
    </row>
    <row customHeight="1" ht="24">
      <c r="A45" s="1370" t="s">
        <v>169</v>
      </c>
      <c r="B45" s="1370" t="s">
        <v>170</v>
      </c>
      <c r="C45" s="1370" t="s">
        <v>171</v>
      </c>
      <c r="D45" s="1370"/>
      <c r="E45" s="2279"/>
      <c r="F45" s="2279"/>
      <c r="G45" s="2278">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65" t="s">
        <v>399</v>
      </c>
      <c r="AO45" s="507"/>
      <c r="AP45" s="507" t="str">
        <f>IF(T45="","",T45)</f>
        <v>Наименование системы теплоснабжения </v>
      </c>
      <c r="AQ45" s="507"/>
      <c r="AR45" s="507"/>
      <c r="AS45" s="1162">
        <v>23</v>
      </c>
    </row>
    <row customHeight="1" ht="22.049999999999997">
      <c r="A46" s="1370" t="s">
        <v>169</v>
      </c>
      <c r="B46" s="1370" t="s">
        <v>170</v>
      </c>
      <c r="C46" s="1370" t="s">
        <v>171</v>
      </c>
      <c r="D46" s="1370" t="s">
        <v>172</v>
      </c>
      <c r="E46" s="2279"/>
      <c r="F46" s="2279"/>
      <c r="G46" s="2279"/>
      <c r="H46" s="2278">
        <v>1</v>
      </c>
      <c r="I46" s="1370"/>
      <c r="J46" s="1370"/>
      <c r="K46" s="1370"/>
      <c r="L46" s="1371"/>
      <c r="M46" s="1372"/>
      <c r="N46" s="1372"/>
      <c r="O46" s="1372"/>
      <c r="P46" s="361"/>
      <c r="Q46" s="359"/>
      <c r="R46" s="360"/>
      <c r="S46" s="1343" t="str">
        <f>INDEX(PT_DIFFERENTIATION_NUM_IST_TE,MATCH(D46,PT_DIFFERENTIATION_IST_TE_ID,0))</f>
        <v>...</v>
      </c>
      <c r="T46" s="317" t="s">
        <v>400</v>
      </c>
      <c r="U46" s="307"/>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65" t="s">
        <v>401</v>
      </c>
      <c r="AO46" s="507"/>
      <c r="AP46" s="507" t="str">
        <f>IF(T46="","",T46)</f>
        <v>Источник тепловой энергии  </v>
      </c>
      <c r="AQ46" s="507"/>
      <c r="AR46" s="507"/>
      <c r="AS46" s="1162">
        <v>21</v>
      </c>
    </row>
    <row s="1649" customFormat="1" customHeight="1" ht="0">
      <c r="A47" s="1350" t="s">
        <v>169</v>
      </c>
      <c r="B47" s="1350" t="s">
        <v>170</v>
      </c>
      <c r="C47" s="1350" t="s">
        <v>171</v>
      </c>
      <c r="D47" s="1350" t="s">
        <v>172</v>
      </c>
      <c r="E47" s="2279"/>
      <c r="F47" s="2279"/>
      <c r="G47" s="2279"/>
      <c r="H47" s="2279"/>
      <c r="I47" s="2276" t="str">
        <f>S46&amp;".1"</f>
        <v>....1</v>
      </c>
      <c r="J47" s="1350"/>
      <c r="K47" s="1350"/>
      <c r="L47" s="1353" t="s">
        <v>402</v>
      </c>
      <c r="M47" s="517"/>
      <c r="N47" s="517"/>
      <c r="O47" s="517"/>
      <c r="P47" s="2277">
        <v>1</v>
      </c>
      <c r="Q47" s="1338"/>
      <c r="R47" s="363"/>
      <c r="S47" s="1049"/>
      <c r="T47" s="1390"/>
      <c r="U47" s="1391"/>
      <c r="V47" s="2316"/>
      <c r="W47" s="2317"/>
      <c r="X47" s="2317"/>
      <c r="Y47" s="2317"/>
      <c r="Z47" s="2317"/>
      <c r="AA47" s="2317"/>
      <c r="AB47" s="2317"/>
      <c r="AC47" s="2318"/>
      <c r="AD47" s="2316"/>
      <c r="AE47" s="2317"/>
      <c r="AF47" s="2317"/>
      <c r="AG47" s="2317"/>
      <c r="AH47" s="2317"/>
      <c r="AI47" s="2317"/>
      <c r="AJ47" s="2317"/>
      <c r="AK47" s="2317"/>
      <c r="AL47" s="2318"/>
      <c r="AM47" s="1392"/>
      <c r="AO47" s="507"/>
      <c r="AP47" s="507" t="str">
        <f>IF(T47="","",T47)</f>
        <v/>
      </c>
      <c r="AQ47" s="507"/>
      <c r="AR47" s="507"/>
      <c r="AS47" s="518">
        <v>0</v>
      </c>
    </row>
    <row customHeight="1" ht="22.049999999999997">
      <c r="A48" s="1370" t="s">
        <v>169</v>
      </c>
      <c r="B48" s="1370" t="s">
        <v>170</v>
      </c>
      <c r="C48" s="1370" t="s">
        <v>171</v>
      </c>
      <c r="D48" s="1370" t="s">
        <v>172</v>
      </c>
      <c r="E48" s="2279"/>
      <c r="F48" s="2279"/>
      <c r="G48" s="2279"/>
      <c r="H48" s="2279"/>
      <c r="I48" s="2306"/>
      <c r="J48" s="2276" t="str">
        <f>S46&amp;".1"</f>
        <v>....1</v>
      </c>
      <c r="K48" s="1370"/>
      <c r="L48" s="1371" t="s">
        <v>405</v>
      </c>
      <c r="P48" s="2277"/>
      <c r="Q48" s="2277">
        <v>1</v>
      </c>
      <c r="R48" s="364"/>
      <c r="S48" s="1343" t="str">
        <f>$J48</f>
        <v>....1</v>
      </c>
      <c r="T48" s="293" t="s">
        <v>406</v>
      </c>
      <c r="U48" s="307"/>
      <c r="V48" s="2265"/>
      <c r="W48" s="2266"/>
      <c r="X48" s="2266"/>
      <c r="Y48" s="2266"/>
      <c r="Z48" s="2266"/>
      <c r="AA48" s="2266"/>
      <c r="AB48" s="2266"/>
      <c r="AC48" s="2267"/>
      <c r="AD48" s="2265"/>
      <c r="AE48" s="2266"/>
      <c r="AF48" s="2266"/>
      <c r="AG48" s="2266"/>
      <c r="AH48" s="2266"/>
      <c r="AI48" s="2266"/>
      <c r="AJ48" s="2266"/>
      <c r="AK48" s="2266"/>
      <c r="AL48" s="2267"/>
      <c r="AM48" s="1265" t="s">
        <v>407</v>
      </c>
      <c r="AO48" s="507"/>
      <c r="AP48" s="507" t="str">
        <f>IF(T48="","",T48)</f>
        <v>Группа потребителей</v>
      </c>
      <c r="AQ48" s="507"/>
      <c r="AR48" s="507"/>
      <c r="AS48" s="1162">
        <v>21</v>
      </c>
    </row>
    <row customHeight="1" ht="22.049999999999997">
      <c r="A49" s="1370" t="s">
        <v>169</v>
      </c>
      <c r="B49" s="1370" t="s">
        <v>170</v>
      </c>
      <c r="C49" s="1370" t="s">
        <v>171</v>
      </c>
      <c r="D49" s="1370" t="s">
        <v>172</v>
      </c>
      <c r="E49" s="2279"/>
      <c r="F49" s="2279"/>
      <c r="G49" s="2279"/>
      <c r="H49" s="2279"/>
      <c r="I49" s="2306"/>
      <c r="J49" s="2306"/>
      <c r="K49" s="2276" t="str">
        <f>J48&amp;".1"</f>
        <v>....1.1</v>
      </c>
      <c r="L49" s="1371" t="s">
        <v>408</v>
      </c>
      <c r="P49" s="2277"/>
      <c r="Q49" s="2277"/>
      <c r="R49" s="364">
        <v>1</v>
      </c>
      <c r="S49" s="1343" t="str">
        <f>$K49</f>
        <v>....1.1</v>
      </c>
      <c r="T49" s="1354"/>
      <c r="U49" s="307"/>
      <c r="V49" s="758"/>
      <c r="W49" s="332"/>
      <c r="X49" s="758"/>
      <c r="Y49" s="1264"/>
      <c r="Z49" s="2285"/>
      <c r="AA49" s="2127" t="s">
        <v>61</v>
      </c>
      <c r="AB49" s="2285"/>
      <c r="AC49" s="2127" t="s">
        <v>61</v>
      </c>
      <c r="AD49" s="758"/>
      <c r="AE49" s="332"/>
      <c r="AF49" s="758"/>
      <c r="AG49" s="1264"/>
      <c r="AH49" s="2285"/>
      <c r="AI49" s="2127" t="s">
        <v>61</v>
      </c>
      <c r="AJ49" s="2307"/>
      <c r="AK49" s="2127" t="s">
        <v>61</v>
      </c>
      <c r="AL49" s="1355"/>
      <c r="AM49" s="2273" t="s">
        <v>450</v>
      </c>
      <c r="AN49" s="518">
        <f>STRCHECKDATE(V50:AL50)</f>
      </c>
      <c r="AO49" s="507"/>
      <c r="AP49" s="507" t="str">
        <f>IF(T49="","",T49)</f>
        <v/>
      </c>
      <c r="AQ49" s="507"/>
      <c r="AR49" s="507"/>
      <c r="AS49" s="1162">
        <v>21</v>
      </c>
    </row>
    <row customHeight="1" ht="1.05">
      <c r="A50" s="1370" t="s">
        <v>169</v>
      </c>
      <c r="B50" s="1370" t="s">
        <v>170</v>
      </c>
      <c r="C50" s="1370" t="s">
        <v>171</v>
      </c>
      <c r="D50" s="1370" t="s">
        <v>172</v>
      </c>
      <c r="E50" s="2279"/>
      <c r="F50" s="2279"/>
      <c r="G50" s="2279"/>
      <c r="H50" s="2279"/>
      <c r="I50" s="2306"/>
      <c r="J50" s="2306"/>
      <c r="K50" s="2276"/>
      <c r="L50" s="1371"/>
      <c r="P50" s="2277"/>
      <c r="Q50" s="2277"/>
      <c r="R50" s="364"/>
      <c r="S50" s="1349"/>
      <c r="T50" s="307"/>
      <c r="U50" s="307"/>
      <c r="V50" s="332"/>
      <c r="W50" s="332"/>
      <c r="X50" s="332"/>
      <c r="Y50" s="335" t="str">
        <f>Z49&amp;"-"&amp;AB49</f>
        <v>-</v>
      </c>
      <c r="Z50" s="2286"/>
      <c r="AA50" s="2127"/>
      <c r="AB50" s="2286"/>
      <c r="AC50" s="2127"/>
      <c r="AD50" s="332"/>
      <c r="AE50" s="332"/>
      <c r="AF50" s="332"/>
      <c r="AG50" s="335" t="str">
        <f>AH49&amp;"-"&amp;AJ49</f>
        <v>-</v>
      </c>
      <c r="AH50" s="2286"/>
      <c r="AI50" s="2127"/>
      <c r="AJ50" s="2308"/>
      <c r="AK50" s="2127"/>
      <c r="AL50" s="1356"/>
      <c r="AM50" s="2274"/>
      <c r="AO50" s="507"/>
      <c r="AP50" s="507" t="str">
        <f>IF(T50="","",T50)</f>
        <v/>
      </c>
      <c r="AQ50" s="507"/>
      <c r="AR50" s="507"/>
      <c r="AS50" s="1162">
        <v>1</v>
      </c>
    </row>
    <row customHeight="1" ht="11.549999999999999">
      <c r="A51" s="1370" t="s">
        <v>169</v>
      </c>
      <c r="B51" s="1370" t="s">
        <v>170</v>
      </c>
      <c r="C51" s="1370" t="s">
        <v>171</v>
      </c>
      <c r="D51" s="1370" t="s">
        <v>172</v>
      </c>
      <c r="E51" s="2279"/>
      <c r="F51" s="2279"/>
      <c r="G51" s="2279"/>
      <c r="H51" s="2279"/>
      <c r="I51" s="2306"/>
      <c r="J51" s="2276"/>
      <c r="K51" s="1370"/>
      <c r="L51" s="1371"/>
      <c r="P51" s="2277"/>
      <c r="Q51" s="2277"/>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75"/>
      <c r="AO51" s="507"/>
      <c r="AP51" s="507" t="str">
        <f>IF(T51="","",T51)</f>
        <v>Добавить вид теплоносителя (параметры теплоносителя)</v>
      </c>
      <c r="AQ51" s="507"/>
      <c r="AR51" s="507"/>
      <c r="AS51" s="1162">
        <v>11</v>
      </c>
    </row>
    <row customHeight="1" ht="11.549999999999999">
      <c r="A52" s="1370" t="s">
        <v>169</v>
      </c>
      <c r="B52" s="1370" t="s">
        <v>170</v>
      </c>
      <c r="C52" s="1370" t="s">
        <v>171</v>
      </c>
      <c r="D52" s="1370" t="s">
        <v>172</v>
      </c>
      <c r="E52" s="2279"/>
      <c r="F52" s="2279"/>
      <c r="G52" s="2279"/>
      <c r="H52" s="2279"/>
      <c r="I52" s="2276"/>
      <c r="J52" s="1370"/>
      <c r="K52" s="1370"/>
      <c r="L52" s="1371"/>
      <c r="P52" s="2277"/>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169</v>
      </c>
      <c r="B53" s="1370" t="s">
        <v>170</v>
      </c>
      <c r="C53" s="1370" t="s">
        <v>171</v>
      </c>
      <c r="D53" s="1370" t="s">
        <v>172</v>
      </c>
      <c r="E53" s="2279"/>
      <c r="F53" s="2279"/>
      <c r="G53" s="2279"/>
      <c r="H53" s="2278"/>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169</v>
      </c>
      <c r="B54" s="1350" t="s">
        <v>170</v>
      </c>
      <c r="C54" s="1350" t="s">
        <v>171</v>
      </c>
      <c r="D54" s="1321"/>
      <c r="E54" s="2279"/>
      <c r="F54" s="2279"/>
      <c r="G54" s="2278"/>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169</v>
      </c>
      <c r="B55" s="1350" t="s">
        <v>170</v>
      </c>
      <c r="C55" s="1321"/>
      <c r="D55" s="1321"/>
      <c r="E55" s="2279"/>
      <c r="F55" s="2278"/>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169</v>
      </c>
      <c r="B56" s="1350"/>
      <c r="C56" s="1350"/>
      <c r="D56" s="1350"/>
      <c r="E56" s="2278"/>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62">
        <v>19</v>
      </c>
    </row>
    <row customHeight="1" ht="29.25">
      <c r="O60" s="54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62">
        <v>28</v>
      </c>
    </row>
    <row customHeight="1" ht="42">
      <c r="O61" s="544"/>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62">
        <v>40</v>
      </c>
    </row>
    <row customHeight="1" ht="14.699999999999998">
      <c r="O62" s="544"/>
      <c r="AS62" s="1162">
        <v>14</v>
      </c>
    </row>
    <row customHeight="1" ht="21">
      <c r="O63" s="544"/>
      <c r="S63" s="1260"/>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62">
        <v>20</v>
      </c>
    </row>
    <row customHeight="1" ht="29.25">
      <c r="O64" s="54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62">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8CC02-BDCA-6E29-A953-0.AB39ABC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27" width="19.140625" hidden="1" customWidth="1"/>
    <col min="13" max="14" style="1782" width="12.28125" hidden="1" customWidth="1"/>
    <col min="15" max="15" style="1782" width="23.421875" hidden="1" customWidth="1"/>
    <col min="16" max="16" style="2417" width="3.7109375" hidden="1" customWidth="1"/>
    <col min="17" max="18" style="351" width="3.00390625" customWidth="1"/>
    <col min="19" max="19" style="2427"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5"/>
      <c r="Y1" s="334"/>
      <c r="Z1" s="334"/>
      <c r="AG1" s="334"/>
      <c r="AH1" s="334"/>
      <c r="AS1" s="1162" t="s">
        <v>14</v>
      </c>
    </row>
    <row customHeight="1" ht="21" hidden="1">
      <c r="A2" s="1370"/>
      <c r="B2" s="1370"/>
      <c r="C2" s="1370"/>
      <c r="D2" s="1370"/>
      <c r="E2" s="2278">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65" t="s">
        <v>395</v>
      </c>
      <c r="AO2" s="507"/>
      <c r="AP2" s="507" t="str">
        <f>IF(T2="","",T2)</f>
        <v>Наименование тарифа</v>
      </c>
      <c r="AQ2" s="507"/>
      <c r="AR2" s="507"/>
      <c r="AS2" s="1162">
        <v>0</v>
      </c>
    </row>
    <row customHeight="1" ht="21" hidden="1">
      <c r="A3" s="1370"/>
      <c r="B3" s="1370"/>
      <c r="C3" s="1370"/>
      <c r="D3" s="1370"/>
      <c r="E3" s="2279"/>
      <c r="F3" s="2278">
        <v>1</v>
      </c>
      <c r="G3" s="1370"/>
      <c r="H3" s="1370"/>
      <c r="I3" s="1370"/>
      <c r="J3" s="1370"/>
      <c r="K3" s="1370"/>
      <c r="L3" s="1371"/>
      <c r="M3" s="1372"/>
      <c r="N3" s="1372"/>
      <c r="O3" s="1372"/>
      <c r="P3" s="1339"/>
      <c r="Q3" s="359"/>
      <c r="R3" s="360"/>
      <c r="S3" s="1343">
        <f>INDEX(PT_DIFFERENTIATION_NUM_TER,MATCH(B3,PT_DIFFERENTIATION_TER_ID,0))</f>
      </c>
      <c r="T3" s="315" t="s">
        <v>396</v>
      </c>
      <c r="U3" s="307"/>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65" t="s">
        <v>397</v>
      </c>
      <c r="AO3" s="507"/>
      <c r="AP3" s="507" t="str">
        <f>IF(T3="","",T3)</f>
        <v>Территория действия тарифа</v>
      </c>
      <c r="AQ3" s="507"/>
      <c r="AR3" s="507"/>
      <c r="AS3" s="1162">
        <v>0</v>
      </c>
    </row>
    <row customHeight="1" ht="23.25" hidden="1">
      <c r="A4" s="1370"/>
      <c r="B4" s="1370"/>
      <c r="C4" s="1370"/>
      <c r="D4" s="1370"/>
      <c r="E4" s="2279"/>
      <c r="F4" s="2279"/>
      <c r="G4" s="2278">
        <v>1</v>
      </c>
      <c r="H4" s="1370"/>
      <c r="I4" s="1370"/>
      <c r="J4" s="1370"/>
      <c r="K4" s="1370"/>
      <c r="L4" s="1371"/>
      <c r="M4" s="1372"/>
      <c r="N4" s="1372"/>
      <c r="O4" s="1372"/>
      <c r="P4" s="361"/>
      <c r="Q4" s="359"/>
      <c r="R4" s="360"/>
      <c r="S4" s="2012">
        <f>INDEX(PT_DIFFERENTIATION_NUM_CS,MATCH(C4,PT_DIFFERENTIATION_CS_ID,0))</f>
      </c>
      <c r="T4" s="2016" t="s">
        <v>398</v>
      </c>
      <c r="U4" s="2017"/>
      <c r="V4" s="2320"/>
      <c r="W4" s="2321"/>
      <c r="X4" s="2321"/>
      <c r="Y4" s="2321"/>
      <c r="Z4" s="2321"/>
      <c r="AA4" s="2321"/>
      <c r="AB4" s="2321"/>
      <c r="AC4" s="2322"/>
      <c r="AD4" s="2320">
        <f>INDEX(PT_DIFFERENTIATION_CS,MATCH(C4,PT_DIFFERENTIATION_CS_ID,0))</f>
      </c>
      <c r="AE4" s="2321"/>
      <c r="AF4" s="2321"/>
      <c r="AG4" s="2321"/>
      <c r="AH4" s="2321"/>
      <c r="AI4" s="2321"/>
      <c r="AJ4" s="2321"/>
      <c r="AK4" s="2321"/>
      <c r="AL4" s="2322"/>
      <c r="AM4" s="1265" t="s">
        <v>399</v>
      </c>
      <c r="AO4" s="507"/>
      <c r="AP4" s="507" t="str">
        <f>IF(T4="","",T4)</f>
        <v>Наименование системы теплоснабжения </v>
      </c>
      <c r="AQ4" s="507"/>
      <c r="AR4" s="507"/>
      <c r="AS4" s="1162">
        <v>0</v>
      </c>
    </row>
    <row customHeight="1" ht="21" hidden="1">
      <c r="A5" s="1370"/>
      <c r="B5" s="1370"/>
      <c r="C5" s="1370"/>
      <c r="D5" s="1370"/>
      <c r="E5" s="2279"/>
      <c r="F5" s="2279"/>
      <c r="G5" s="2279"/>
      <c r="H5" s="2278">
        <v>1</v>
      </c>
      <c r="I5" s="1370"/>
      <c r="J5" s="1370"/>
      <c r="K5" s="1370"/>
      <c r="L5" s="1371"/>
      <c r="M5" s="1372"/>
      <c r="N5" s="1372"/>
      <c r="O5" s="1372"/>
      <c r="P5" s="361"/>
      <c r="Q5" s="359"/>
      <c r="R5" s="1642"/>
      <c r="S5" s="2011">
        <f>INDEX(PT_DIFFERENTIATION_NUM_IST_TE,MATCH(D5,PT_DIFFERENTIATION_IST_TE_ID,0))</f>
      </c>
      <c r="T5" s="317" t="s">
        <v>400</v>
      </c>
      <c r="U5" s="307"/>
      <c r="V5" s="2323"/>
      <c r="W5" s="2323"/>
      <c r="X5" s="2323"/>
      <c r="Y5" s="2323"/>
      <c r="Z5" s="2323"/>
      <c r="AA5" s="2323"/>
      <c r="AB5" s="2323"/>
      <c r="AC5" s="2323"/>
      <c r="AD5" s="2323">
        <f>INDEX(PT_DIFFERENTIATION_IST_TE,MATCH(D5,PT_DIFFERENTIATION_IST_TE_ID,0))</f>
      </c>
      <c r="AE5" s="2323"/>
      <c r="AF5" s="2323"/>
      <c r="AG5" s="2323"/>
      <c r="AH5" s="2323"/>
      <c r="AI5" s="2323"/>
      <c r="AJ5" s="2323"/>
      <c r="AK5" s="2323"/>
      <c r="AL5" s="2323"/>
      <c r="AM5" s="2014" t="s">
        <v>401</v>
      </c>
      <c r="AO5" s="507"/>
      <c r="AP5" s="507" t="str">
        <f>IF(T5="","",T5)</f>
        <v>Источник тепловой энергии  </v>
      </c>
      <c r="AQ5" s="507"/>
      <c r="AR5" s="507"/>
      <c r="AS5" s="1162">
        <v>0</v>
      </c>
    </row>
    <row customHeight="1" ht="0.75" hidden="1">
      <c r="A6" s="1370"/>
      <c r="B6" s="1370"/>
      <c r="C6" s="1370"/>
      <c r="D6" s="1370"/>
      <c r="E6" s="2279"/>
      <c r="F6" s="2279"/>
      <c r="G6" s="2279"/>
      <c r="H6" s="2279"/>
      <c r="I6" s="2276">
        <f>S5&amp;".1"</f>
      </c>
      <c r="J6" s="1370"/>
      <c r="K6" s="1370"/>
      <c r="L6" s="1371" t="s">
        <v>402</v>
      </c>
      <c r="M6" s="544"/>
      <c r="P6" s="2277">
        <v>1</v>
      </c>
      <c r="Q6" s="1338"/>
      <c r="R6" s="2010"/>
      <c r="S6" s="1049"/>
      <c r="T6" s="1390"/>
      <c r="U6" s="1391"/>
      <c r="V6" s="2324"/>
      <c r="W6" s="2324"/>
      <c r="X6" s="2324"/>
      <c r="Y6" s="2324"/>
      <c r="Z6" s="2324"/>
      <c r="AA6" s="2324"/>
      <c r="AB6" s="2324"/>
      <c r="AC6" s="2324"/>
      <c r="AD6" s="2324"/>
      <c r="AE6" s="2324"/>
      <c r="AF6" s="2324"/>
      <c r="AG6" s="2324"/>
      <c r="AH6" s="2324"/>
      <c r="AI6" s="2324"/>
      <c r="AJ6" s="2324"/>
      <c r="AK6" s="2324"/>
      <c r="AL6" s="2324"/>
      <c r="AM6" s="2015"/>
      <c r="AO6" s="507"/>
      <c r="AP6" s="507" t="str">
        <f>IF(T6="","",T6)</f>
        <v/>
      </c>
      <c r="AQ6" s="507"/>
      <c r="AR6" s="507"/>
      <c r="AS6" s="1162">
        <v>0</v>
      </c>
    </row>
    <row customHeight="1" ht="84" hidden="1">
      <c r="A7" s="1370"/>
      <c r="B7" s="1370"/>
      <c r="C7" s="1370"/>
      <c r="D7" s="1370"/>
      <c r="E7" s="2279"/>
      <c r="F7" s="2279"/>
      <c r="G7" s="2279"/>
      <c r="H7" s="2279"/>
      <c r="I7" s="2306"/>
      <c r="J7" s="2276">
        <f>I6&amp;".1"</f>
      </c>
      <c r="K7" s="1370"/>
      <c r="L7" s="1371" t="s">
        <v>405</v>
      </c>
      <c r="M7" s="544"/>
      <c r="N7" s="1373"/>
      <c r="P7" s="2277"/>
      <c r="Q7" s="2277">
        <v>1</v>
      </c>
      <c r="R7" s="1649"/>
      <c r="S7" s="2011">
        <f>$J7</f>
      </c>
      <c r="T7" s="293" t="s">
        <v>406</v>
      </c>
      <c r="U7" s="307"/>
      <c r="V7" s="2325"/>
      <c r="W7" s="2325"/>
      <c r="X7" s="2325"/>
      <c r="Y7" s="2325"/>
      <c r="Z7" s="2325"/>
      <c r="AA7" s="2325"/>
      <c r="AB7" s="2325"/>
      <c r="AC7" s="2325"/>
      <c r="AD7" s="2325"/>
      <c r="AE7" s="2325"/>
      <c r="AF7" s="2325"/>
      <c r="AG7" s="2325"/>
      <c r="AH7" s="2325"/>
      <c r="AI7" s="2325"/>
      <c r="AJ7" s="2325"/>
      <c r="AK7" s="2325"/>
      <c r="AL7" s="2325"/>
      <c r="AM7" s="2014" t="s">
        <v>407</v>
      </c>
      <c r="AO7" s="507"/>
      <c r="AP7" s="507" t="str">
        <f>IF(T7="","",T7)</f>
        <v>Группа потребителей</v>
      </c>
      <c r="AQ7" s="507"/>
      <c r="AR7" s="507"/>
      <c r="AS7" s="1162">
        <v>0</v>
      </c>
    </row>
    <row customHeight="1" ht="11.25" hidden="1">
      <c r="A8" s="1370"/>
      <c r="B8" s="1370"/>
      <c r="C8" s="1370"/>
      <c r="D8" s="1370"/>
      <c r="E8" s="2279"/>
      <c r="F8" s="2279"/>
      <c r="G8" s="2279"/>
      <c r="H8" s="2279"/>
      <c r="I8" s="2306"/>
      <c r="J8" s="2306"/>
      <c r="K8" s="2276">
        <f>J7&amp;".1"</f>
      </c>
      <c r="L8" s="1371" t="s">
        <v>408</v>
      </c>
      <c r="M8" s="544"/>
      <c r="N8" s="1373"/>
      <c r="O8" s="1373"/>
      <c r="P8" s="2277"/>
      <c r="Q8" s="2277"/>
      <c r="R8" s="364">
        <v>1</v>
      </c>
      <c r="S8" s="2013">
        <f>$K8</f>
      </c>
      <c r="T8" s="2018"/>
      <c r="U8" s="2019"/>
      <c r="V8" s="2020"/>
      <c r="W8" s="1356"/>
      <c r="X8" s="2020"/>
      <c r="Y8" s="2021"/>
      <c r="Z8" s="2326"/>
      <c r="AA8" s="2132" t="s">
        <v>61</v>
      </c>
      <c r="AB8" s="2326"/>
      <c r="AC8" s="2132" t="s">
        <v>61</v>
      </c>
      <c r="AD8" s="2020"/>
      <c r="AE8" s="1356"/>
      <c r="AF8" s="2020"/>
      <c r="AG8" s="2021"/>
      <c r="AH8" s="2326"/>
      <c r="AI8" s="2132" t="s">
        <v>61</v>
      </c>
      <c r="AJ8" s="2326"/>
      <c r="AK8" s="2132" t="s">
        <v>61</v>
      </c>
      <c r="AL8" s="1356"/>
      <c r="AM8" s="2273" t="s">
        <v>409</v>
      </c>
      <c r="AN8" s="518">
        <f>STRCHECKDATE(V9:AL9)</f>
      </c>
      <c r="AO8" s="507"/>
      <c r="AP8" s="507" t="str">
        <f>IF(T8="","",T8)</f>
        <v/>
      </c>
      <c r="AQ8" s="507"/>
      <c r="AR8" s="507"/>
      <c r="AS8" s="1162">
        <v>0</v>
      </c>
    </row>
    <row customHeight="1" ht="0.75" hidden="1">
      <c r="A9" s="1370"/>
      <c r="B9" s="1370"/>
      <c r="C9" s="1370"/>
      <c r="D9" s="1370"/>
      <c r="E9" s="2279"/>
      <c r="F9" s="2279"/>
      <c r="G9" s="2279"/>
      <c r="H9" s="2279"/>
      <c r="I9" s="2306"/>
      <c r="J9" s="2306"/>
      <c r="K9" s="2276"/>
      <c r="L9" s="1371"/>
      <c r="M9" s="544"/>
      <c r="N9" s="1373"/>
      <c r="O9" s="1373"/>
      <c r="P9" s="2277"/>
      <c r="Q9" s="2277"/>
      <c r="R9" s="364"/>
      <c r="S9" s="1349"/>
      <c r="T9" s="307"/>
      <c r="U9" s="307"/>
      <c r="V9" s="332"/>
      <c r="W9" s="332"/>
      <c r="X9" s="332"/>
      <c r="Y9" s="335" t="str">
        <f>Z8&amp;"-"&amp;AB8</f>
        <v>-</v>
      </c>
      <c r="Z9" s="2286"/>
      <c r="AA9" s="2127"/>
      <c r="AB9" s="2286"/>
      <c r="AC9" s="2127"/>
      <c r="AD9" s="332"/>
      <c r="AE9" s="332"/>
      <c r="AF9" s="332"/>
      <c r="AG9" s="335" t="str">
        <f>AH8&amp;"-"&amp;AJ8</f>
        <v>-</v>
      </c>
      <c r="AH9" s="2286"/>
      <c r="AI9" s="2127"/>
      <c r="AJ9" s="2286"/>
      <c r="AK9" s="2127"/>
      <c r="AL9" s="332"/>
      <c r="AM9" s="2274"/>
      <c r="AO9" s="507"/>
      <c r="AP9" s="507" t="str">
        <f>IF(T9="","",T9)</f>
        <v/>
      </c>
      <c r="AQ9" s="507"/>
      <c r="AR9" s="507"/>
      <c r="AS9" s="1162">
        <v>0</v>
      </c>
    </row>
    <row customHeight="1" ht="11.25" hidden="1">
      <c r="A10" s="1370"/>
      <c r="B10" s="1370"/>
      <c r="C10" s="1370"/>
      <c r="D10" s="1370"/>
      <c r="E10" s="2279"/>
      <c r="F10" s="2279"/>
      <c r="G10" s="2279"/>
      <c r="H10" s="2279"/>
      <c r="I10" s="2306"/>
      <c r="J10" s="2276"/>
      <c r="K10" s="1370"/>
      <c r="L10" s="1371"/>
      <c r="M10" s="544"/>
      <c r="N10" s="1373"/>
      <c r="P10" s="2277"/>
      <c r="Q10" s="2277"/>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75"/>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79"/>
      <c r="F11" s="2279"/>
      <c r="G11" s="2279"/>
      <c r="H11" s="2279"/>
      <c r="I11" s="2276"/>
      <c r="J11" s="1370"/>
      <c r="K11" s="1370"/>
      <c r="L11" s="1371"/>
      <c r="M11" s="544"/>
      <c r="P11" s="2277"/>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79"/>
      <c r="F12" s="2279"/>
      <c r="G12" s="2279"/>
      <c r="H12" s="2278"/>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79"/>
      <c r="F13" s="2279"/>
      <c r="G13" s="2278"/>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79"/>
      <c r="F14" s="2278"/>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78"/>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87"/>
      <c r="AI17" s="2288" t="s">
        <v>61</v>
      </c>
      <c r="AJ17" s="2287"/>
      <c r="AK17" s="2288" t="s">
        <v>61</v>
      </c>
      <c r="AS17" s="1162">
        <v>0</v>
      </c>
    </row>
    <row customHeight="1" ht="14.25" hidden="1">
      <c r="AD18" s="1367"/>
      <c r="AE18" s="1367"/>
      <c r="AF18" s="1367"/>
      <c r="AG18" s="335" t="str">
        <f>AH17&amp;"-"&amp;AJ17</f>
        <v>-</v>
      </c>
      <c r="AH18" s="2288"/>
      <c r="AI18" s="2288"/>
      <c r="AJ18" s="2288"/>
      <c r="AK18" s="2288"/>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7"/>
      <c r="U26" s="2327"/>
      <c r="V26" s="2327"/>
      <c r="W26" s="2327"/>
      <c r="X26" s="2327"/>
      <c r="Y26" s="2327"/>
      <c r="Z26" s="2327"/>
      <c r="AA26" s="2327"/>
      <c r="AB26" s="2327"/>
      <c r="AC26" s="2327"/>
      <c r="AD26" s="2327"/>
      <c r="AE26" s="2327"/>
      <c r="AF26" s="2327"/>
      <c r="AG26" s="2327"/>
      <c r="AH26" s="2327"/>
      <c r="AI26" s="2327"/>
      <c r="AJ26" s="2327"/>
      <c r="AK26" s="1250"/>
      <c r="AS26" s="1162">
        <v>52</v>
      </c>
    </row>
    <row customHeight="1" ht="14.699999999999998">
      <c r="Q27" s="383"/>
      <c r="R27" s="383"/>
      <c r="S27" s="2269" t="str">
        <f>IF(org=0,"Не определено",org)</f>
        <v>ИМУП «ПОСЖИЛКОМСЕРВИС»</v>
      </c>
      <c r="T27" s="2269"/>
      <c r="U27" s="2269"/>
      <c r="V27" s="2269"/>
      <c r="W27" s="2269"/>
      <c r="X27" s="2269"/>
      <c r="Y27" s="2269"/>
      <c r="Z27" s="2269"/>
      <c r="AA27" s="2269"/>
      <c r="AB27" s="2269"/>
      <c r="AC27" s="2269"/>
      <c r="AD27" s="2269"/>
      <c r="AE27" s="2269"/>
      <c r="AF27" s="2269"/>
      <c r="AG27" s="2269"/>
      <c r="AH27" s="2269"/>
      <c r="AI27" s="2269"/>
      <c r="AJ27" s="2269"/>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0" t="s">
        <v>41</v>
      </c>
      <c r="T29" s="2270"/>
      <c r="U29" s="1379"/>
      <c r="V29" s="2271" t="str">
        <f>IF(TITLE_NAME_OR_PR_CHANGE="",IF(TITLE_NAME_OR_PR="","",TITLE_NAME_OR_PR),TITLE_NAME_OR_PR_CHANGE)</f>
        <v/>
      </c>
      <c r="W29" s="2271"/>
      <c r="X29" s="2271"/>
      <c r="Y29" s="2271"/>
      <c r="Z29" s="2271"/>
      <c r="AA29" s="2271"/>
      <c r="AB29" s="2271"/>
      <c r="AC29" s="333"/>
      <c r="AD29" s="2271" t="str">
        <f>IF(TITLE_NAME_OR_PR_CHANGE="",IF(TITLE_NAME_OR_PR="","",TITLE_NAME_OR_PR),TITLE_NAME_OR_PR_CHANGE)</f>
        <v/>
      </c>
      <c r="AE29" s="2271"/>
      <c r="AF29" s="2271"/>
      <c r="AG29" s="2271"/>
      <c r="AH29" s="2271"/>
      <c r="AI29" s="2271"/>
      <c r="AJ29" s="2271"/>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422</v>
      </c>
      <c r="T30" s="2270"/>
      <c r="U30" s="1379"/>
      <c r="V30" s="2284" t="str">
        <f>IF(TITLE_DATE_PR_CHANGE="",IF(TITLE_DATE_PR="","",TITLE_DATE_PR),TITLE_DATE_PR_CHANGE)</f>
        <v/>
      </c>
      <c r="W30" s="2284"/>
      <c r="X30" s="2284"/>
      <c r="Y30" s="2284"/>
      <c r="Z30" s="2284"/>
      <c r="AA30" s="2284"/>
      <c r="AB30" s="2284"/>
      <c r="AC30" s="333"/>
      <c r="AD30" s="2284" t="str">
        <f>IF(TITLE_DATE_PR_CHANGE="",IF(TITLE_DATE_PR="","",TITLE_DATE_PR),TITLE_DATE_PR_CHANGE)</f>
        <v/>
      </c>
      <c r="AE30" s="2284"/>
      <c r="AF30" s="2284"/>
      <c r="AG30" s="2284"/>
      <c r="AH30" s="2284"/>
      <c r="AI30" s="2284"/>
      <c r="AJ30" s="2284"/>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0" t="s">
        <v>423</v>
      </c>
      <c r="T31" s="2270"/>
      <c r="U31" s="1379"/>
      <c r="V31" s="2271" t="str">
        <f>IF(TITLE_NUMBER_PR_CHANGE="",IF(TITLE_NUMBER_PR="","",TITLE_NUMBER_PR),TITLE_NUMBER_PR_CHANGE)</f>
        <v/>
      </c>
      <c r="W31" s="2271"/>
      <c r="X31" s="2271"/>
      <c r="Y31" s="2271"/>
      <c r="Z31" s="2271"/>
      <c r="AA31" s="2271"/>
      <c r="AB31" s="2271"/>
      <c r="AC31" s="333"/>
      <c r="AD31" s="2271" t="str">
        <f>IF(TITLE_NUMBER_PR_CHANGE="",IF(TITLE_NUMBER_PR="","",TITLE_NUMBER_PR),TITLE_NUMBER_PR_CHANGE)</f>
        <v/>
      </c>
      <c r="AE31" s="2271"/>
      <c r="AF31" s="2271"/>
      <c r="AG31" s="2271"/>
      <c r="AH31" s="2271"/>
      <c r="AI31" s="2271"/>
      <c r="AJ31" s="2271"/>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0" t="s">
        <v>42</v>
      </c>
      <c r="T32" s="2270"/>
      <c r="U32" s="1379"/>
      <c r="V32" s="2271" t="str">
        <f>IF(TITLE_IST_PUB_CHANGE="",IF(TITLE_IST_PUB="","",TITLE_IST_PUB),TITLE_IST_PUB_CHANGE)</f>
        <v/>
      </c>
      <c r="W32" s="2271"/>
      <c r="X32" s="2271"/>
      <c r="Y32" s="2271"/>
      <c r="Z32" s="2271"/>
      <c r="AA32" s="2271"/>
      <c r="AB32" s="2271"/>
      <c r="AC32" s="333"/>
      <c r="AD32" s="2271" t="str">
        <f>IF(TITLE_IST_PUB_CHANGE="",IF(TITLE_IST_PUB="","",TITLE_IST_PUB),TITLE_IST_PUB_CHANGE)</f>
        <v/>
      </c>
      <c r="AE32" s="2271"/>
      <c r="AF32" s="2271"/>
      <c r="AG32" s="2271"/>
      <c r="AH32" s="2271"/>
      <c r="AI32" s="2271"/>
      <c r="AJ32" s="2271"/>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0" t="s">
        <v>424</v>
      </c>
      <c r="T34" s="2270"/>
      <c r="U34" s="1379"/>
      <c r="V34" s="2284" t="str">
        <f>IF(TITLE_DATE_PR_CHANGE="",IF(TITLE_DATE_PR="","",TITLE_DATE_PR),TITLE_DATE_PR_CHANGE)</f>
        <v/>
      </c>
      <c r="W34" s="2284"/>
      <c r="X34" s="2284"/>
      <c r="Y34" s="2284"/>
      <c r="Z34" s="2284"/>
      <c r="AA34" s="2284"/>
      <c r="AB34" s="2284"/>
      <c r="AC34" s="333"/>
      <c r="AD34" s="2284" t="str">
        <f>IF(TITLE_DATE_PR_CHANGE="",IF(TITLE_DATE_PR="","",TITLE_DATE_PR),TITLE_DATE_PR_CHANGE)</f>
        <v/>
      </c>
      <c r="AE34" s="2284"/>
      <c r="AF34" s="2284"/>
      <c r="AG34" s="2284"/>
      <c r="AH34" s="2284"/>
      <c r="AI34" s="2284"/>
      <c r="AJ34" s="2284"/>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0" t="s">
        <v>425</v>
      </c>
      <c r="T35" s="2270"/>
      <c r="U35" s="1379"/>
      <c r="V35" s="2271" t="str">
        <f>IF(TITLE_NUMBER_PR_CHANGE="",IF(TITLE_NUMBER_PR="","",TITLE_NUMBER_PR),TITLE_NUMBER_PR_CHANGE)</f>
        <v/>
      </c>
      <c r="W35" s="2271"/>
      <c r="X35" s="2271"/>
      <c r="Y35" s="2271"/>
      <c r="Z35" s="2271"/>
      <c r="AA35" s="2271"/>
      <c r="AB35" s="2271"/>
      <c r="AC35" s="333"/>
      <c r="AD35" s="2271" t="str">
        <f>IF(TITLE_NUMBER_PR_CHANGE="",IF(TITLE_NUMBER_PR="","",TITLE_NUMBER_PR),TITLE_NUMBER_PR_CHANGE)</f>
        <v/>
      </c>
      <c r="AE35" s="2271"/>
      <c r="AF35" s="2271"/>
      <c r="AG35" s="2271"/>
      <c r="AH35" s="2271"/>
      <c r="AI35" s="2271"/>
      <c r="AJ35" s="2271"/>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426</v>
      </c>
      <c r="AD36" s="333"/>
      <c r="AE36" s="333"/>
      <c r="AF36" s="333"/>
      <c r="AG36" s="333"/>
      <c r="AH36" s="333"/>
      <c r="AI36" s="333"/>
      <c r="AJ36" s="333"/>
      <c r="AK36" s="285" t="s">
        <v>426</v>
      </c>
      <c r="AN36" s="375"/>
      <c r="AO36" s="375"/>
      <c r="AP36" s="375"/>
      <c r="AQ36" s="375"/>
      <c r="AR36" s="375"/>
      <c r="AS36" s="425">
        <v>0</v>
      </c>
    </row>
    <row customHeight="1" ht="14.699999999999998">
      <c r="Q37" s="383"/>
      <c r="R37" s="383"/>
      <c r="S37" s="1282"/>
      <c r="T37" s="370"/>
      <c r="U37" s="1251"/>
      <c r="V37" s="2272"/>
      <c r="W37" s="2272"/>
      <c r="X37" s="2272"/>
      <c r="Y37" s="2272"/>
      <c r="Z37" s="2272"/>
      <c r="AA37" s="2272"/>
      <c r="AB37" s="2272"/>
      <c r="AC37" s="2272"/>
      <c r="AD37" s="2272"/>
      <c r="AE37" s="2272"/>
      <c r="AF37" s="2272"/>
      <c r="AG37" s="2272"/>
      <c r="AH37" s="2272"/>
      <c r="AI37" s="2272"/>
      <c r="AJ37" s="2272"/>
      <c r="AK37" s="2272"/>
      <c r="AS37" s="1162">
        <v>14</v>
      </c>
    </row>
    <row customHeight="1" ht="14.699999999999998">
      <c r="Q38" s="383"/>
      <c r="R38" s="383"/>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62">
        <v>14</v>
      </c>
    </row>
    <row customHeight="1" ht="14.699999999999998">
      <c r="Q39" s="383"/>
      <c r="R39" s="383"/>
      <c r="S39" s="2293" t="s">
        <v>87</v>
      </c>
      <c r="T39" s="2229" t="s">
        <v>427</v>
      </c>
      <c r="U39" s="308"/>
      <c r="V39" s="2294" t="s">
        <v>428</v>
      </c>
      <c r="W39" s="2295"/>
      <c r="X39" s="2295"/>
      <c r="Y39" s="2295"/>
      <c r="Z39" s="2295"/>
      <c r="AA39" s="2295"/>
      <c r="AB39" s="2296"/>
      <c r="AC39" s="2297" t="s">
        <v>429</v>
      </c>
      <c r="AD39" s="2294" t="s">
        <v>428</v>
      </c>
      <c r="AE39" s="2295"/>
      <c r="AF39" s="2295"/>
      <c r="AG39" s="2295"/>
      <c r="AH39" s="2295"/>
      <c r="AI39" s="2295"/>
      <c r="AJ39" s="2296"/>
      <c r="AK39" s="2297" t="s">
        <v>430</v>
      </c>
      <c r="AL39" s="2300" t="s">
        <v>431</v>
      </c>
      <c r="AM39" s="2147"/>
      <c r="AS39" s="1162">
        <v>14</v>
      </c>
    </row>
    <row customHeight="1" ht="35.699999999999996">
      <c r="Q40" s="383"/>
      <c r="R40" s="383"/>
      <c r="S40" s="2293"/>
      <c r="T40" s="2229"/>
      <c r="U40" s="1038"/>
      <c r="V40" s="2280" t="s">
        <v>432</v>
      </c>
      <c r="W40" s="2303"/>
      <c r="X40" s="2282" t="s">
        <v>434</v>
      </c>
      <c r="Y40" s="2283"/>
      <c r="Z40" s="2282" t="s">
        <v>435</v>
      </c>
      <c r="AA40" s="2289"/>
      <c r="AB40" s="2283"/>
      <c r="AC40" s="2298"/>
      <c r="AD40" s="2280" t="s">
        <v>449</v>
      </c>
      <c r="AE40" s="2303"/>
      <c r="AF40" s="2282" t="s">
        <v>434</v>
      </c>
      <c r="AG40" s="2283"/>
      <c r="AH40" s="2282" t="s">
        <v>435</v>
      </c>
      <c r="AI40" s="2289"/>
      <c r="AJ40" s="2283"/>
      <c r="AK40" s="2298"/>
      <c r="AL40" s="2301"/>
      <c r="AM40" s="2147"/>
      <c r="AS40" s="1162">
        <v>34</v>
      </c>
    </row>
    <row customHeight="1" ht="35.699999999999996">
      <c r="A41" s="1377"/>
      <c r="B41" s="1377" t="s">
        <v>136</v>
      </c>
      <c r="C41" s="1377" t="s">
        <v>137</v>
      </c>
      <c r="D41" s="1377" t="s">
        <v>138</v>
      </c>
      <c r="E41" s="1371" t="s">
        <v>436</v>
      </c>
      <c r="F41" s="1371" t="s">
        <v>437</v>
      </c>
      <c r="G41" s="1371" t="s">
        <v>438</v>
      </c>
      <c r="H41" s="1371" t="s">
        <v>439</v>
      </c>
      <c r="I41" s="1371" t="s">
        <v>440</v>
      </c>
      <c r="J41" s="1371" t="s">
        <v>441</v>
      </c>
      <c r="K41" s="1371" t="s">
        <v>442</v>
      </c>
      <c r="L41" s="1371" t="s">
        <v>417</v>
      </c>
      <c r="Q41" s="383"/>
      <c r="R41" s="383"/>
      <c r="S41" s="2293"/>
      <c r="T41" s="2229"/>
      <c r="U41" s="309"/>
      <c r="V41" s="2281"/>
      <c r="W41" s="2304"/>
      <c r="X41" s="1229" t="s">
        <v>443</v>
      </c>
      <c r="Y41" s="1229" t="s">
        <v>444</v>
      </c>
      <c r="Z41" s="1345" t="s">
        <v>445</v>
      </c>
      <c r="AA41" s="2290" t="s">
        <v>446</v>
      </c>
      <c r="AB41" s="2291"/>
      <c r="AC41" s="2299"/>
      <c r="AD41" s="2281"/>
      <c r="AE41" s="2304"/>
      <c r="AF41" s="1229" t="s">
        <v>443</v>
      </c>
      <c r="AG41" s="1229" t="s">
        <v>444</v>
      </c>
      <c r="AH41" s="1345" t="s">
        <v>445</v>
      </c>
      <c r="AI41" s="2290" t="s">
        <v>446</v>
      </c>
      <c r="AJ41" s="2291"/>
      <c r="AK41" s="2299"/>
      <c r="AL41" s="2302"/>
      <c r="AM41" s="2147"/>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92">
        <f>OFFSET(AA42,0,-1)+1</f>
        <v>4</v>
      </c>
      <c r="AB42" s="2292"/>
      <c r="AC42" s="1342">
        <f>OFFSET(AC42,0,-2)+1</f>
        <v>5</v>
      </c>
      <c r="AD42" s="1342">
        <f>OFFSET(AD42,0,-1)+1</f>
        <v>6</v>
      </c>
      <c r="AE42" s="1342"/>
      <c r="AF42" s="1342">
        <f>OFFSET(AF42,0,-1)+1</f>
        <v>1</v>
      </c>
      <c r="AG42" s="1342">
        <f>OFFSET(AG42,0,-1)+1</f>
        <v>2</v>
      </c>
      <c r="AH42" s="1342">
        <f>OFFSET(AH42,0,-1)+1</f>
        <v>3</v>
      </c>
      <c r="AI42" s="2292">
        <f>OFFSET(AI42,0,-1)+1</f>
        <v>4</v>
      </c>
      <c r="AJ42" s="2292"/>
      <c r="AK42" s="1342">
        <f>OFFSET(AK42,0,-2)+1</f>
        <v>5</v>
      </c>
      <c r="AL42" s="1252">
        <f>OFFSET(AL42,0,-1)</f>
        <v>5</v>
      </c>
      <c r="AM42" s="1342">
        <f>OFFSET(AM42,0,-1)+1</f>
        <v>6</v>
      </c>
      <c r="AN42" s="518"/>
      <c r="AO42" s="518"/>
      <c r="AP42" s="518"/>
      <c r="AQ42" s="518"/>
      <c r="AR42" s="518"/>
      <c r="AS42" s="503">
        <v>0</v>
      </c>
    </row>
    <row customHeight="1" ht="22.049999999999997">
      <c r="A43" s="1370" t="s">
        <v>181</v>
      </c>
      <c r="B43" s="1370"/>
      <c r="C43" s="1370"/>
      <c r="D43" s="1370"/>
      <c r="E43" s="2278">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181</v>
      </c>
      <c r="B44" s="1370" t="s">
        <v>182</v>
      </c>
      <c r="C44" s="1370"/>
      <c r="D44" s="1370"/>
      <c r="E44" s="2279"/>
      <c r="F44" s="2278">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65" t="s">
        <v>397</v>
      </c>
      <c r="AO44" s="507"/>
      <c r="AP44" s="507" t="str">
        <f>IF(T44="","",T44)</f>
        <v>Территория действия тарифа</v>
      </c>
      <c r="AQ44" s="507"/>
      <c r="AR44" s="507"/>
      <c r="AS44" s="1162">
        <v>21</v>
      </c>
    </row>
    <row customHeight="1" ht="24">
      <c r="A45" s="1370" t="s">
        <v>181</v>
      </c>
      <c r="B45" s="1370" t="s">
        <v>182</v>
      </c>
      <c r="C45" s="1370" t="s">
        <v>183</v>
      </c>
      <c r="D45" s="1370"/>
      <c r="E45" s="2279"/>
      <c r="F45" s="2279"/>
      <c r="G45" s="2278">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65" t="s">
        <v>399</v>
      </c>
      <c r="AO45" s="507"/>
      <c r="AP45" s="507" t="str">
        <f>IF(T45="","",T45)</f>
        <v>Наименование системы теплоснабжения </v>
      </c>
      <c r="AQ45" s="507"/>
      <c r="AR45" s="507"/>
      <c r="AS45" s="1162">
        <v>23</v>
      </c>
    </row>
    <row customHeight="1" ht="22.049999999999997">
      <c r="A46" s="1370" t="s">
        <v>181</v>
      </c>
      <c r="B46" s="1370" t="s">
        <v>182</v>
      </c>
      <c r="C46" s="1370" t="s">
        <v>183</v>
      </c>
      <c r="D46" s="1370" t="s">
        <v>184</v>
      </c>
      <c r="E46" s="2279"/>
      <c r="F46" s="2279"/>
      <c r="G46" s="2279"/>
      <c r="H46" s="2278">
        <v>1</v>
      </c>
      <c r="I46" s="1370"/>
      <c r="J46" s="1370"/>
      <c r="K46" s="1370"/>
      <c r="L46" s="1371"/>
      <c r="M46" s="1372"/>
      <c r="N46" s="1372"/>
      <c r="O46" s="1372"/>
      <c r="P46" s="361"/>
      <c r="Q46" s="359"/>
      <c r="R46" s="360"/>
      <c r="S46" s="1343" t="str">
        <f>INDEX(PT_DIFFERENTIATION_NUM_IST_TE,MATCH(D46,PT_DIFFERENTIATION_IST_TE_ID,0))</f>
        <v>...</v>
      </c>
      <c r="T46" s="317" t="s">
        <v>400</v>
      </c>
      <c r="U46" s="307"/>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65" t="s">
        <v>401</v>
      </c>
      <c r="AO46" s="507"/>
      <c r="AP46" s="507" t="str">
        <f>IF(T46="","",T46)</f>
        <v>Источник тепловой энергии  </v>
      </c>
      <c r="AQ46" s="507"/>
      <c r="AR46" s="507"/>
      <c r="AS46" s="1162">
        <v>21</v>
      </c>
    </row>
    <row s="1649" customFormat="1" customHeight="1" ht="0">
      <c r="A47" s="1350" t="s">
        <v>181</v>
      </c>
      <c r="B47" s="1350" t="s">
        <v>182</v>
      </c>
      <c r="C47" s="1350" t="s">
        <v>183</v>
      </c>
      <c r="D47" s="1350" t="s">
        <v>184</v>
      </c>
      <c r="E47" s="2279"/>
      <c r="F47" s="2279"/>
      <c r="G47" s="2279"/>
      <c r="H47" s="2279"/>
      <c r="I47" s="2276" t="str">
        <f>S46&amp;".1"</f>
        <v>....1</v>
      </c>
      <c r="J47" s="1350"/>
      <c r="K47" s="1350"/>
      <c r="L47" s="1353" t="s">
        <v>402</v>
      </c>
      <c r="M47" s="517"/>
      <c r="N47" s="517"/>
      <c r="O47" s="517"/>
      <c r="P47" s="2277">
        <v>1</v>
      </c>
      <c r="Q47" s="1338"/>
      <c r="R47" s="363"/>
      <c r="S47" s="1049"/>
      <c r="T47" s="1390"/>
      <c r="U47" s="1391"/>
      <c r="V47" s="2316"/>
      <c r="W47" s="2317"/>
      <c r="X47" s="2317"/>
      <c r="Y47" s="2317"/>
      <c r="Z47" s="2317"/>
      <c r="AA47" s="2317"/>
      <c r="AB47" s="2317"/>
      <c r="AC47" s="2318"/>
      <c r="AD47" s="2316"/>
      <c r="AE47" s="2317"/>
      <c r="AF47" s="2317"/>
      <c r="AG47" s="2317"/>
      <c r="AH47" s="2317"/>
      <c r="AI47" s="2317"/>
      <c r="AJ47" s="2317"/>
      <c r="AK47" s="2317"/>
      <c r="AL47" s="2318"/>
      <c r="AM47" s="1392"/>
      <c r="AO47" s="507"/>
      <c r="AP47" s="507" t="str">
        <f>IF(T47="","",T47)</f>
        <v/>
      </c>
      <c r="AQ47" s="507"/>
      <c r="AR47" s="507"/>
      <c r="AS47" s="518">
        <v>0</v>
      </c>
    </row>
    <row customHeight="1" ht="22.049999999999997">
      <c r="A48" s="1370" t="s">
        <v>181</v>
      </c>
      <c r="B48" s="1370" t="s">
        <v>182</v>
      </c>
      <c r="C48" s="1370" t="s">
        <v>183</v>
      </c>
      <c r="D48" s="1370" t="s">
        <v>184</v>
      </c>
      <c r="E48" s="2279"/>
      <c r="F48" s="2279"/>
      <c r="G48" s="2279"/>
      <c r="H48" s="2279"/>
      <c r="I48" s="2306"/>
      <c r="J48" s="2276" t="str">
        <f>S46&amp;".1"</f>
        <v>....1</v>
      </c>
      <c r="K48" s="1370"/>
      <c r="L48" s="1371" t="s">
        <v>405</v>
      </c>
      <c r="P48" s="2277"/>
      <c r="Q48" s="2277">
        <v>1</v>
      </c>
      <c r="R48" s="364"/>
      <c r="S48" s="1343" t="str">
        <f>$J48</f>
        <v>....1</v>
      </c>
      <c r="T48" s="293" t="s">
        <v>406</v>
      </c>
      <c r="U48" s="307"/>
      <c r="V48" s="2265"/>
      <c r="W48" s="2266"/>
      <c r="X48" s="2266"/>
      <c r="Y48" s="2266"/>
      <c r="Z48" s="2266"/>
      <c r="AA48" s="2266"/>
      <c r="AB48" s="2266"/>
      <c r="AC48" s="2267"/>
      <c r="AD48" s="2265"/>
      <c r="AE48" s="2266"/>
      <c r="AF48" s="2266"/>
      <c r="AG48" s="2266"/>
      <c r="AH48" s="2266"/>
      <c r="AI48" s="2266"/>
      <c r="AJ48" s="2266"/>
      <c r="AK48" s="2266"/>
      <c r="AL48" s="2267"/>
      <c r="AM48" s="1265" t="s">
        <v>407</v>
      </c>
      <c r="AO48" s="507"/>
      <c r="AP48" s="507" t="str">
        <f>IF(T48="","",T48)</f>
        <v>Группа потребителей</v>
      </c>
      <c r="AQ48" s="507"/>
      <c r="AR48" s="507"/>
      <c r="AS48" s="1162">
        <v>21</v>
      </c>
    </row>
    <row customHeight="1" ht="22.049999999999997">
      <c r="A49" s="1370" t="s">
        <v>181</v>
      </c>
      <c r="B49" s="1370" t="s">
        <v>182</v>
      </c>
      <c r="C49" s="1370" t="s">
        <v>183</v>
      </c>
      <c r="D49" s="1370" t="s">
        <v>184</v>
      </c>
      <c r="E49" s="2279"/>
      <c r="F49" s="2279"/>
      <c r="G49" s="2279"/>
      <c r="H49" s="2279"/>
      <c r="I49" s="2306"/>
      <c r="J49" s="2306"/>
      <c r="K49" s="2276" t="str">
        <f>J48&amp;".1"</f>
        <v>....1.1</v>
      </c>
      <c r="L49" s="1371" t="s">
        <v>408</v>
      </c>
      <c r="P49" s="2277"/>
      <c r="Q49" s="2277"/>
      <c r="R49" s="364">
        <v>1</v>
      </c>
      <c r="S49" s="1343" t="str">
        <f>$K49</f>
        <v>....1.1</v>
      </c>
      <c r="T49" s="1354"/>
      <c r="U49" s="307"/>
      <c r="V49" s="758"/>
      <c r="W49" s="332"/>
      <c r="X49" s="758"/>
      <c r="Y49" s="1264"/>
      <c r="Z49" s="2285"/>
      <c r="AA49" s="2127" t="s">
        <v>61</v>
      </c>
      <c r="AB49" s="2285"/>
      <c r="AC49" s="2127" t="s">
        <v>61</v>
      </c>
      <c r="AD49" s="758"/>
      <c r="AE49" s="332"/>
      <c r="AF49" s="758"/>
      <c r="AG49" s="1264"/>
      <c r="AH49" s="2285"/>
      <c r="AI49" s="2127" t="s">
        <v>61</v>
      </c>
      <c r="AJ49" s="2307"/>
      <c r="AK49" s="2127" t="s">
        <v>61</v>
      </c>
      <c r="AL49" s="1355"/>
      <c r="AM49" s="2273" t="s">
        <v>450</v>
      </c>
      <c r="AN49" s="518">
        <f>STRCHECKDATE(V50:AL50)</f>
      </c>
      <c r="AO49" s="507"/>
      <c r="AP49" s="507" t="str">
        <f>IF(T49="","",T49)</f>
        <v/>
      </c>
      <c r="AQ49" s="507"/>
      <c r="AR49" s="507"/>
      <c r="AS49" s="1162">
        <v>21</v>
      </c>
    </row>
    <row customHeight="1" ht="1.05">
      <c r="A50" s="1370" t="s">
        <v>181</v>
      </c>
      <c r="B50" s="1370" t="s">
        <v>182</v>
      </c>
      <c r="C50" s="1370" t="s">
        <v>183</v>
      </c>
      <c r="D50" s="1370" t="s">
        <v>184</v>
      </c>
      <c r="E50" s="2279"/>
      <c r="F50" s="2279"/>
      <c r="G50" s="2279"/>
      <c r="H50" s="2279"/>
      <c r="I50" s="2306"/>
      <c r="J50" s="2306"/>
      <c r="K50" s="2276"/>
      <c r="L50" s="1371"/>
      <c r="P50" s="2277"/>
      <c r="Q50" s="2277"/>
      <c r="R50" s="364"/>
      <c r="S50" s="1349"/>
      <c r="T50" s="307"/>
      <c r="U50" s="307"/>
      <c r="V50" s="332"/>
      <c r="W50" s="332"/>
      <c r="X50" s="332"/>
      <c r="Y50" s="335" t="str">
        <f>Z49&amp;"-"&amp;AB49</f>
        <v>-</v>
      </c>
      <c r="Z50" s="2286"/>
      <c r="AA50" s="2127"/>
      <c r="AB50" s="2286"/>
      <c r="AC50" s="2127"/>
      <c r="AD50" s="332"/>
      <c r="AE50" s="332"/>
      <c r="AF50" s="332"/>
      <c r="AG50" s="335" t="str">
        <f>AH49&amp;"-"&amp;AJ49</f>
        <v>-</v>
      </c>
      <c r="AH50" s="2286"/>
      <c r="AI50" s="2127"/>
      <c r="AJ50" s="2308"/>
      <c r="AK50" s="2127"/>
      <c r="AL50" s="1356"/>
      <c r="AM50" s="2274"/>
      <c r="AO50" s="507"/>
      <c r="AP50" s="507" t="str">
        <f>IF(T50="","",T50)</f>
        <v/>
      </c>
      <c r="AQ50" s="507"/>
      <c r="AR50" s="507"/>
      <c r="AS50" s="1162">
        <v>1</v>
      </c>
    </row>
    <row customHeight="1" ht="11.549999999999999">
      <c r="A51" s="1370" t="s">
        <v>181</v>
      </c>
      <c r="B51" s="1370" t="s">
        <v>182</v>
      </c>
      <c r="C51" s="1370" t="s">
        <v>183</v>
      </c>
      <c r="D51" s="1370" t="s">
        <v>184</v>
      </c>
      <c r="E51" s="2279"/>
      <c r="F51" s="2279"/>
      <c r="G51" s="2279"/>
      <c r="H51" s="2279"/>
      <c r="I51" s="2306"/>
      <c r="J51" s="2276"/>
      <c r="K51" s="1370"/>
      <c r="L51" s="1371"/>
      <c r="P51" s="2277"/>
      <c r="Q51" s="2277"/>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75"/>
      <c r="AO51" s="507"/>
      <c r="AP51" s="507" t="str">
        <f>IF(T51="","",T51)</f>
        <v>Добавить вид теплоносителя (параметры теплоносителя)</v>
      </c>
      <c r="AQ51" s="507"/>
      <c r="AR51" s="507"/>
      <c r="AS51" s="1162">
        <v>11</v>
      </c>
    </row>
    <row customHeight="1" ht="11.549999999999999">
      <c r="A52" s="1370" t="s">
        <v>181</v>
      </c>
      <c r="B52" s="1370" t="s">
        <v>182</v>
      </c>
      <c r="C52" s="1370" t="s">
        <v>183</v>
      </c>
      <c r="D52" s="1370" t="s">
        <v>184</v>
      </c>
      <c r="E52" s="2279"/>
      <c r="F52" s="2279"/>
      <c r="G52" s="2279"/>
      <c r="H52" s="2279"/>
      <c r="I52" s="2276"/>
      <c r="J52" s="1370"/>
      <c r="K52" s="1370"/>
      <c r="L52" s="1371"/>
      <c r="P52" s="2277"/>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181</v>
      </c>
      <c r="B53" s="1370" t="s">
        <v>182</v>
      </c>
      <c r="C53" s="1370" t="s">
        <v>183</v>
      </c>
      <c r="D53" s="1370" t="s">
        <v>184</v>
      </c>
      <c r="E53" s="2279"/>
      <c r="F53" s="2279"/>
      <c r="G53" s="2279"/>
      <c r="H53" s="2278"/>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181</v>
      </c>
      <c r="B54" s="1350" t="s">
        <v>182</v>
      </c>
      <c r="C54" s="1350" t="s">
        <v>183</v>
      </c>
      <c r="D54" s="1321"/>
      <c r="E54" s="2279"/>
      <c r="F54" s="2279"/>
      <c r="G54" s="2278"/>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181</v>
      </c>
      <c r="B55" s="1350" t="s">
        <v>182</v>
      </c>
      <c r="C55" s="1321"/>
      <c r="D55" s="1321"/>
      <c r="E55" s="2279"/>
      <c r="F55" s="2278"/>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181</v>
      </c>
      <c r="B56" s="1350"/>
      <c r="C56" s="1350"/>
      <c r="D56" s="1350"/>
      <c r="E56" s="2278"/>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62">
        <v>22</v>
      </c>
    </row>
    <row customHeight="1" ht="30.45">
      <c r="O60" s="54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62">
        <v>29</v>
      </c>
    </row>
    <row customHeight="1" ht="42">
      <c r="O61" s="544"/>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62">
        <v>40</v>
      </c>
    </row>
    <row customHeight="1" ht="14.699999999999998">
      <c r="O62" s="544"/>
      <c r="AS62" s="1162">
        <v>14</v>
      </c>
    </row>
    <row customHeight="1" ht="21">
      <c r="O63" s="544"/>
      <c r="S63" s="1260"/>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62">
        <v>20</v>
      </c>
    </row>
    <row customHeight="1" ht="29.25">
      <c r="O64" s="54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62">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FC6B7-8895-BB9F-BE7A-0.8565BD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27" width="19.140625" hidden="1" customWidth="1"/>
    <col min="13" max="14" style="1782" width="12.28125" hidden="1" customWidth="1"/>
    <col min="15" max="15" style="1782" width="23.421875" hidden="1" customWidth="1"/>
    <col min="16" max="16" style="2417" width="3.7109375" hidden="1" customWidth="1"/>
    <col min="17" max="18" style="351" width="3.00390625" customWidth="1"/>
    <col min="19" max="19" style="2427"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78">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65" t="s">
        <v>395</v>
      </c>
      <c r="AO2" s="507"/>
      <c r="AP2" s="507" t="str">
        <f>IF(T2="","",T2)</f>
        <v>Наименование тарифа</v>
      </c>
      <c r="AQ2" s="507"/>
      <c r="AR2" s="507"/>
      <c r="AS2" s="1162">
        <v>0</v>
      </c>
    </row>
    <row customHeight="1" ht="21" hidden="1">
      <c r="A3" s="1370"/>
      <c r="B3" s="1370"/>
      <c r="C3" s="1370"/>
      <c r="D3" s="1370"/>
      <c r="E3" s="2279"/>
      <c r="F3" s="2278">
        <v>1</v>
      </c>
      <c r="G3" s="1370"/>
      <c r="H3" s="1370"/>
      <c r="I3" s="1370"/>
      <c r="J3" s="1370"/>
      <c r="K3" s="1370"/>
      <c r="L3" s="1371"/>
      <c r="M3" s="1372"/>
      <c r="N3" s="1372"/>
      <c r="O3" s="1372"/>
      <c r="P3" s="1339"/>
      <c r="Q3" s="359"/>
      <c r="R3" s="360"/>
      <c r="S3" s="1343">
        <f>INDEX(PT_DIFFERENTIATION_NUM_TER,MATCH(B3,PT_DIFFERENTIATION_TER_ID,0))</f>
      </c>
      <c r="T3" s="315" t="s">
        <v>396</v>
      </c>
      <c r="U3" s="307"/>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65" t="s">
        <v>397</v>
      </c>
      <c r="AO3" s="507"/>
      <c r="AP3" s="507" t="str">
        <f>IF(T3="","",T3)</f>
        <v>Территория действия тарифа</v>
      </c>
      <c r="AQ3" s="507"/>
      <c r="AR3" s="507"/>
      <c r="AS3" s="1162">
        <v>0</v>
      </c>
    </row>
    <row customHeight="1" ht="23.25" hidden="1">
      <c r="A4" s="1370"/>
      <c r="B4" s="1370"/>
      <c r="C4" s="1370"/>
      <c r="D4" s="1370"/>
      <c r="E4" s="2279"/>
      <c r="F4" s="2279"/>
      <c r="G4" s="2278">
        <v>1</v>
      </c>
      <c r="H4" s="1370"/>
      <c r="I4" s="1370"/>
      <c r="J4" s="1370"/>
      <c r="K4" s="1370"/>
      <c r="L4" s="1371"/>
      <c r="M4" s="1372"/>
      <c r="N4" s="1372"/>
      <c r="O4" s="1372"/>
      <c r="P4" s="361"/>
      <c r="Q4" s="359"/>
      <c r="R4" s="360"/>
      <c r="S4" s="1343">
        <f>INDEX(PT_DIFFERENTIATION_NUM_CS,MATCH(C4,PT_DIFFERENTIATION_CS_ID,0))</f>
      </c>
      <c r="T4" s="316" t="s">
        <v>398</v>
      </c>
      <c r="U4" s="307"/>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65" t="s">
        <v>399</v>
      </c>
      <c r="AO4" s="507"/>
      <c r="AP4" s="507" t="str">
        <f>IF(T4="","",T4)</f>
        <v>Наименование системы теплоснабжения </v>
      </c>
      <c r="AQ4" s="507"/>
      <c r="AR4" s="507"/>
      <c r="AS4" s="1162">
        <v>0</v>
      </c>
    </row>
    <row customHeight="1" ht="21" hidden="1">
      <c r="A5" s="1370"/>
      <c r="B5" s="1370"/>
      <c r="C5" s="1370"/>
      <c r="D5" s="1370"/>
      <c r="E5" s="2279"/>
      <c r="F5" s="2279"/>
      <c r="G5" s="2279"/>
      <c r="H5" s="2278">
        <v>1</v>
      </c>
      <c r="I5" s="1370"/>
      <c r="J5" s="1370"/>
      <c r="K5" s="1370"/>
      <c r="L5" s="1371"/>
      <c r="M5" s="1372"/>
      <c r="N5" s="1372"/>
      <c r="O5" s="1372"/>
      <c r="P5" s="361"/>
      <c r="Q5" s="359"/>
      <c r="R5" s="360"/>
      <c r="S5" s="1343">
        <f>INDEX(PT_DIFFERENTIATION_NUM_IST_TE,MATCH(D5,PT_DIFFERENTIATION_IST_TE_ID,0))</f>
      </c>
      <c r="T5" s="317" t="s">
        <v>400</v>
      </c>
      <c r="U5" s="307"/>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65" t="s">
        <v>401</v>
      </c>
      <c r="AO5" s="507"/>
      <c r="AP5" s="507" t="str">
        <f>IF(T5="","",T5)</f>
        <v>Источник тепловой энергии  </v>
      </c>
      <c r="AQ5" s="507"/>
      <c r="AR5" s="507"/>
      <c r="AS5" s="1162">
        <v>0</v>
      </c>
    </row>
    <row customHeight="1" ht="14.25" hidden="1">
      <c r="A6" s="1370"/>
      <c r="B6" s="1370"/>
      <c r="C6" s="1370"/>
      <c r="D6" s="1370"/>
      <c r="E6" s="2279"/>
      <c r="F6" s="2279"/>
      <c r="G6" s="2279"/>
      <c r="H6" s="2279"/>
      <c r="I6" s="2276">
        <f>S5&amp;".1"</f>
      </c>
      <c r="J6" s="1370"/>
      <c r="K6" s="1370"/>
      <c r="L6" s="1371" t="s">
        <v>402</v>
      </c>
      <c r="M6" s="544"/>
      <c r="P6" s="2277">
        <v>1</v>
      </c>
      <c r="Q6" s="1338"/>
      <c r="R6" s="363"/>
      <c r="S6" s="1049"/>
      <c r="T6" s="1390"/>
      <c r="U6" s="1391"/>
      <c r="V6" s="2316"/>
      <c r="W6" s="2317"/>
      <c r="X6" s="2317"/>
      <c r="Y6" s="2317"/>
      <c r="Z6" s="2317"/>
      <c r="AA6" s="2317"/>
      <c r="AB6" s="2317"/>
      <c r="AC6" s="2318"/>
      <c r="AD6" s="2316"/>
      <c r="AE6" s="2317"/>
      <c r="AF6" s="2317"/>
      <c r="AG6" s="2317"/>
      <c r="AH6" s="2317"/>
      <c r="AI6" s="2317"/>
      <c r="AJ6" s="2317"/>
      <c r="AK6" s="2317"/>
      <c r="AL6" s="2318"/>
      <c r="AM6" s="1392"/>
      <c r="AO6" s="507"/>
      <c r="AP6" s="507" t="str">
        <f>IF(T6="","",T6)</f>
        <v/>
      </c>
      <c r="AQ6" s="507"/>
      <c r="AR6" s="507"/>
      <c r="AS6" s="1162">
        <v>0</v>
      </c>
    </row>
    <row customHeight="1" ht="21" hidden="1">
      <c r="A7" s="1370"/>
      <c r="B7" s="1370"/>
      <c r="C7" s="1370"/>
      <c r="D7" s="1370"/>
      <c r="E7" s="2279"/>
      <c r="F7" s="2279"/>
      <c r="G7" s="2279"/>
      <c r="H7" s="2279"/>
      <c r="I7" s="2306"/>
      <c r="J7" s="2276">
        <f>I6&amp;".1"</f>
      </c>
      <c r="K7" s="1370"/>
      <c r="L7" s="1371" t="s">
        <v>405</v>
      </c>
      <c r="M7" s="544"/>
      <c r="N7" s="1373"/>
      <c r="P7" s="2277"/>
      <c r="Q7" s="2277">
        <v>1</v>
      </c>
      <c r="R7" s="364"/>
      <c r="S7" s="1343">
        <f>$J7</f>
      </c>
      <c r="T7" s="293" t="s">
        <v>406</v>
      </c>
      <c r="U7" s="307"/>
      <c r="V7" s="2265"/>
      <c r="W7" s="2266"/>
      <c r="X7" s="2266"/>
      <c r="Y7" s="2266"/>
      <c r="Z7" s="2266"/>
      <c r="AA7" s="2266"/>
      <c r="AB7" s="2266"/>
      <c r="AC7" s="2267"/>
      <c r="AD7" s="2265"/>
      <c r="AE7" s="2266"/>
      <c r="AF7" s="2266"/>
      <c r="AG7" s="2266"/>
      <c r="AH7" s="2266"/>
      <c r="AI7" s="2266"/>
      <c r="AJ7" s="2266"/>
      <c r="AK7" s="2266"/>
      <c r="AL7" s="2267"/>
      <c r="AM7" s="1265" t="s">
        <v>407</v>
      </c>
      <c r="AO7" s="507"/>
      <c r="AP7" s="507" t="str">
        <f>IF(T7="","",T7)</f>
        <v>Группа потребителей</v>
      </c>
      <c r="AQ7" s="507"/>
      <c r="AR7" s="507"/>
      <c r="AS7" s="1162">
        <v>0</v>
      </c>
    </row>
    <row customHeight="1" ht="21" hidden="1">
      <c r="A8" s="1370"/>
      <c r="B8" s="1370"/>
      <c r="C8" s="1370"/>
      <c r="D8" s="1370"/>
      <c r="E8" s="2279"/>
      <c r="F8" s="2279"/>
      <c r="G8" s="2279"/>
      <c r="H8" s="2279"/>
      <c r="I8" s="2306"/>
      <c r="J8" s="2306"/>
      <c r="K8" s="2276">
        <f>J7&amp;".1"</f>
      </c>
      <c r="L8" s="1371" t="s">
        <v>408</v>
      </c>
      <c r="M8" s="544"/>
      <c r="N8" s="1373"/>
      <c r="O8" s="1373"/>
      <c r="P8" s="2277"/>
      <c r="Q8" s="2277"/>
      <c r="R8" s="364">
        <v>1</v>
      </c>
      <c r="S8" s="1343">
        <f>$K8</f>
      </c>
      <c r="T8" s="1354"/>
      <c r="U8" s="307"/>
      <c r="V8" s="758"/>
      <c r="W8" s="332"/>
      <c r="X8" s="758"/>
      <c r="Y8" s="1264"/>
      <c r="Z8" s="2285"/>
      <c r="AA8" s="2127" t="s">
        <v>61</v>
      </c>
      <c r="AB8" s="2285"/>
      <c r="AC8" s="2127" t="s">
        <v>61</v>
      </c>
      <c r="AD8" s="758"/>
      <c r="AE8" s="332"/>
      <c r="AF8" s="758"/>
      <c r="AG8" s="1264"/>
      <c r="AH8" s="2285"/>
      <c r="AI8" s="2127" t="s">
        <v>61</v>
      </c>
      <c r="AJ8" s="2285"/>
      <c r="AK8" s="2127" t="s">
        <v>61</v>
      </c>
      <c r="AL8" s="332"/>
      <c r="AM8" s="2273" t="s">
        <v>409</v>
      </c>
      <c r="AN8" s="518">
        <f>STRCHECKDATE(V9:AL9)</f>
      </c>
      <c r="AO8" s="507"/>
      <c r="AP8" s="507" t="str">
        <f>IF(T8="","",T8)</f>
        <v/>
      </c>
      <c r="AQ8" s="507"/>
      <c r="AR8" s="507"/>
      <c r="AS8" s="1162">
        <v>0</v>
      </c>
    </row>
    <row customHeight="1" ht="14.25" hidden="1">
      <c r="A9" s="1370"/>
      <c r="B9" s="1370"/>
      <c r="C9" s="1370"/>
      <c r="D9" s="1370"/>
      <c r="E9" s="2279"/>
      <c r="F9" s="2279"/>
      <c r="G9" s="2279"/>
      <c r="H9" s="2279"/>
      <c r="I9" s="2306"/>
      <c r="J9" s="2306"/>
      <c r="K9" s="2276"/>
      <c r="L9" s="1371"/>
      <c r="M9" s="544"/>
      <c r="N9" s="1373"/>
      <c r="O9" s="1373"/>
      <c r="P9" s="2277"/>
      <c r="Q9" s="2277"/>
      <c r="R9" s="364"/>
      <c r="S9" s="1349"/>
      <c r="T9" s="307"/>
      <c r="U9" s="307"/>
      <c r="V9" s="332"/>
      <c r="W9" s="332"/>
      <c r="X9" s="332"/>
      <c r="Y9" s="335" t="str">
        <f>Z8&amp;"-"&amp;AB8</f>
        <v>-</v>
      </c>
      <c r="Z9" s="2286"/>
      <c r="AA9" s="2127"/>
      <c r="AB9" s="2286"/>
      <c r="AC9" s="2127"/>
      <c r="AD9" s="332"/>
      <c r="AE9" s="332"/>
      <c r="AF9" s="332"/>
      <c r="AG9" s="335" t="str">
        <f>AH8&amp;"-"&amp;AJ8</f>
        <v>-</v>
      </c>
      <c r="AH9" s="2286"/>
      <c r="AI9" s="2127"/>
      <c r="AJ9" s="2286"/>
      <c r="AK9" s="2127"/>
      <c r="AL9" s="332"/>
      <c r="AM9" s="2274"/>
      <c r="AO9" s="507"/>
      <c r="AP9" s="507" t="str">
        <f>IF(T9="","",T9)</f>
        <v/>
      </c>
      <c r="AQ9" s="507"/>
      <c r="AR9" s="507"/>
      <c r="AS9" s="1162">
        <v>0</v>
      </c>
    </row>
    <row customHeight="1" ht="15" hidden="1">
      <c r="A10" s="1370"/>
      <c r="B10" s="1370"/>
      <c r="C10" s="1370"/>
      <c r="D10" s="1370"/>
      <c r="E10" s="2279"/>
      <c r="F10" s="2279"/>
      <c r="G10" s="2279"/>
      <c r="H10" s="2279"/>
      <c r="I10" s="2306"/>
      <c r="J10" s="2276"/>
      <c r="K10" s="1370"/>
      <c r="L10" s="1371"/>
      <c r="M10" s="544"/>
      <c r="N10" s="1373"/>
      <c r="P10" s="2277"/>
      <c r="Q10" s="2277"/>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75"/>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79"/>
      <c r="F11" s="2279"/>
      <c r="G11" s="2279"/>
      <c r="H11" s="2279"/>
      <c r="I11" s="2276"/>
      <c r="J11" s="1370"/>
      <c r="K11" s="1370"/>
      <c r="L11" s="1371"/>
      <c r="M11" s="544"/>
      <c r="P11" s="2277"/>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79"/>
      <c r="F12" s="2279"/>
      <c r="G12" s="2279"/>
      <c r="H12" s="2278"/>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79"/>
      <c r="F13" s="2279"/>
      <c r="G13" s="2278"/>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79"/>
      <c r="F14" s="2278"/>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78"/>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87"/>
      <c r="AI17" s="2288" t="s">
        <v>61</v>
      </c>
      <c r="AJ17" s="2287"/>
      <c r="AK17" s="2288" t="s">
        <v>61</v>
      </c>
      <c r="AS17" s="1162">
        <v>0</v>
      </c>
    </row>
    <row customHeight="1" ht="14.25" hidden="1">
      <c r="AD18" s="1367"/>
      <c r="AE18" s="1367"/>
      <c r="AF18" s="1367"/>
      <c r="AG18" s="335" t="str">
        <f>AH17&amp;"-"&amp;AJ17</f>
        <v>-</v>
      </c>
      <c r="AH18" s="2288"/>
      <c r="AI18" s="2288"/>
      <c r="AJ18" s="2288"/>
      <c r="AK18" s="2288"/>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50"/>
      <c r="AS26" s="1162">
        <v>51</v>
      </c>
    </row>
    <row customHeight="1" ht="14.699999999999998">
      <c r="Q27" s="383"/>
      <c r="R27" s="383"/>
      <c r="S27" s="2269" t="str">
        <f>IF(org=0,"Не определено",org)</f>
        <v>ИМУП «ПОСЖИЛКОМСЕРВИС»</v>
      </c>
      <c r="T27" s="2269"/>
      <c r="U27" s="2269"/>
      <c r="V27" s="2269"/>
      <c r="W27" s="2269"/>
      <c r="X27" s="2269"/>
      <c r="Y27" s="2269"/>
      <c r="Z27" s="2269"/>
      <c r="AA27" s="2269"/>
      <c r="AB27" s="2269"/>
      <c r="AC27" s="2269"/>
      <c r="AD27" s="2269"/>
      <c r="AE27" s="2269"/>
      <c r="AF27" s="2269"/>
      <c r="AG27" s="2269"/>
      <c r="AH27" s="2269"/>
      <c r="AI27" s="2269"/>
      <c r="AJ27" s="2269"/>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0" t="s">
        <v>41</v>
      </c>
      <c r="T29" s="2270"/>
      <c r="U29" s="1379"/>
      <c r="V29" s="2271" t="str">
        <f>IF(TITLE_NAME_OR_PR_CHANGE="",IF(TITLE_NAME_OR_PR="","",TITLE_NAME_OR_PR),TITLE_NAME_OR_PR_CHANGE)</f>
        <v/>
      </c>
      <c r="W29" s="2271"/>
      <c r="X29" s="2271"/>
      <c r="Y29" s="2271"/>
      <c r="Z29" s="2271"/>
      <c r="AA29" s="2271"/>
      <c r="AB29" s="2271"/>
      <c r="AC29" s="333"/>
      <c r="AD29" s="2271" t="str">
        <f>IF(TITLE_NAME_OR_PR_CHANGE="",IF(TITLE_NAME_OR_PR="","",TITLE_NAME_OR_PR),TITLE_NAME_OR_PR_CHANGE)</f>
        <v/>
      </c>
      <c r="AE29" s="2271"/>
      <c r="AF29" s="2271"/>
      <c r="AG29" s="2271"/>
      <c r="AH29" s="2271"/>
      <c r="AI29" s="2271"/>
      <c r="AJ29" s="2271"/>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422</v>
      </c>
      <c r="T30" s="2270"/>
      <c r="U30" s="1379"/>
      <c r="V30" s="2284" t="str">
        <f>IF(TITLE_DATE_PR_CHANGE="",IF(TITLE_DATE_PR="","",TITLE_DATE_PR),TITLE_DATE_PR_CHANGE)</f>
        <v/>
      </c>
      <c r="W30" s="2284"/>
      <c r="X30" s="2284"/>
      <c r="Y30" s="2284"/>
      <c r="Z30" s="2284"/>
      <c r="AA30" s="2284"/>
      <c r="AB30" s="2284"/>
      <c r="AC30" s="333"/>
      <c r="AD30" s="2284" t="str">
        <f>IF(TITLE_DATE_PR_CHANGE="",IF(TITLE_DATE_PR="","",TITLE_DATE_PR),TITLE_DATE_PR_CHANGE)</f>
        <v/>
      </c>
      <c r="AE30" s="2284"/>
      <c r="AF30" s="2284"/>
      <c r="AG30" s="2284"/>
      <c r="AH30" s="2284"/>
      <c r="AI30" s="2284"/>
      <c r="AJ30" s="2284"/>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0" t="s">
        <v>423</v>
      </c>
      <c r="T31" s="2270"/>
      <c r="U31" s="1379"/>
      <c r="V31" s="2271" t="str">
        <f>IF(TITLE_NUMBER_PR_CHANGE="",IF(TITLE_NUMBER_PR="","",TITLE_NUMBER_PR),TITLE_NUMBER_PR_CHANGE)</f>
        <v/>
      </c>
      <c r="W31" s="2271"/>
      <c r="X31" s="2271"/>
      <c r="Y31" s="2271"/>
      <c r="Z31" s="2271"/>
      <c r="AA31" s="2271"/>
      <c r="AB31" s="2271"/>
      <c r="AC31" s="333"/>
      <c r="AD31" s="2271" t="str">
        <f>IF(TITLE_NUMBER_PR_CHANGE="",IF(TITLE_NUMBER_PR="","",TITLE_NUMBER_PR),TITLE_NUMBER_PR_CHANGE)</f>
        <v/>
      </c>
      <c r="AE31" s="2271"/>
      <c r="AF31" s="2271"/>
      <c r="AG31" s="2271"/>
      <c r="AH31" s="2271"/>
      <c r="AI31" s="2271"/>
      <c r="AJ31" s="2271"/>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0" t="s">
        <v>42</v>
      </c>
      <c r="T32" s="2270"/>
      <c r="U32" s="1379"/>
      <c r="V32" s="2271" t="str">
        <f>IF(TITLE_IST_PUB_CHANGE="",IF(TITLE_IST_PUB="","",TITLE_IST_PUB),TITLE_IST_PUB_CHANGE)</f>
        <v/>
      </c>
      <c r="W32" s="2271"/>
      <c r="X32" s="2271"/>
      <c r="Y32" s="2271"/>
      <c r="Z32" s="2271"/>
      <c r="AA32" s="2271"/>
      <c r="AB32" s="2271"/>
      <c r="AC32" s="333"/>
      <c r="AD32" s="2271" t="str">
        <f>IF(TITLE_IST_PUB_CHANGE="",IF(TITLE_IST_PUB="","",TITLE_IST_PUB),TITLE_IST_PUB_CHANGE)</f>
        <v/>
      </c>
      <c r="AE32" s="2271"/>
      <c r="AF32" s="2271"/>
      <c r="AG32" s="2271"/>
      <c r="AH32" s="2271"/>
      <c r="AI32" s="2271"/>
      <c r="AJ32" s="2271"/>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0" t="s">
        <v>424</v>
      </c>
      <c r="T34" s="2270"/>
      <c r="U34" s="1379"/>
      <c r="V34" s="2284" t="str">
        <f>IF(TITLE_DATE_PR_CHANGE="",IF(TITLE_DATE_PR="","",TITLE_DATE_PR),TITLE_DATE_PR_CHANGE)</f>
        <v/>
      </c>
      <c r="W34" s="2284"/>
      <c r="X34" s="2284"/>
      <c r="Y34" s="2284"/>
      <c r="Z34" s="2284"/>
      <c r="AA34" s="2284"/>
      <c r="AB34" s="2284"/>
      <c r="AC34" s="333"/>
      <c r="AD34" s="2284" t="str">
        <f>IF(TITLE_DATE_PR_CHANGE="",IF(TITLE_DATE_PR="","",TITLE_DATE_PR),TITLE_DATE_PR_CHANGE)</f>
        <v/>
      </c>
      <c r="AE34" s="2284"/>
      <c r="AF34" s="2284"/>
      <c r="AG34" s="2284"/>
      <c r="AH34" s="2284"/>
      <c r="AI34" s="2284"/>
      <c r="AJ34" s="2284"/>
      <c r="AK34" s="333"/>
      <c r="AL34" s="333"/>
      <c r="AM34" s="287"/>
      <c r="AN34" s="375"/>
      <c r="AO34" s="375"/>
      <c r="AP34" s="375"/>
      <c r="AQ34" s="375"/>
      <c r="AR34" s="375"/>
      <c r="AS34" s="425">
        <v>0</v>
      </c>
    </row>
    <row s="1857" customFormat="1" customHeight="1" ht="25.5" hidden="1">
      <c r="A35" s="1375"/>
      <c r="B35" s="1375"/>
      <c r="C35" s="1375"/>
      <c r="D35" s="1375"/>
      <c r="E35" s="1375"/>
      <c r="F35" s="1375"/>
      <c r="G35" s="1375"/>
      <c r="H35" s="1375"/>
      <c r="I35" s="1375"/>
      <c r="J35" s="1375"/>
      <c r="K35" s="1375"/>
      <c r="L35" s="1376"/>
      <c r="M35" s="1375"/>
      <c r="N35" s="1375"/>
      <c r="O35" s="1375"/>
      <c r="S35" s="2270" t="s">
        <v>425</v>
      </c>
      <c r="T35" s="2270"/>
      <c r="U35" s="1379"/>
      <c r="V35" s="2271" t="str">
        <f>IF(TITLE_NUMBER_PR_CHANGE="",IF(TITLE_NUMBER_PR="","",TITLE_NUMBER_PR),TITLE_NUMBER_PR_CHANGE)</f>
        <v/>
      </c>
      <c r="W35" s="2271"/>
      <c r="X35" s="2271"/>
      <c r="Y35" s="2271"/>
      <c r="Z35" s="2271"/>
      <c r="AA35" s="2271"/>
      <c r="AB35" s="2271"/>
      <c r="AC35" s="333"/>
      <c r="AD35" s="2271" t="str">
        <f>IF(TITLE_NUMBER_PR_CHANGE="",IF(TITLE_NUMBER_PR="","",TITLE_NUMBER_PR),TITLE_NUMBER_PR_CHANGE)</f>
        <v/>
      </c>
      <c r="AE35" s="2271"/>
      <c r="AF35" s="2271"/>
      <c r="AG35" s="2271"/>
      <c r="AH35" s="2271"/>
      <c r="AI35" s="2271"/>
      <c r="AJ35" s="2271"/>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426</v>
      </c>
      <c r="AD36" s="333"/>
      <c r="AE36" s="333"/>
      <c r="AF36" s="333"/>
      <c r="AG36" s="333"/>
      <c r="AH36" s="333"/>
      <c r="AI36" s="333"/>
      <c r="AJ36" s="333"/>
      <c r="AK36" s="285" t="s">
        <v>426</v>
      </c>
      <c r="AN36" s="375"/>
      <c r="AO36" s="375"/>
      <c r="AP36" s="375"/>
      <c r="AQ36" s="375"/>
      <c r="AR36" s="375"/>
      <c r="AS36" s="425">
        <v>0</v>
      </c>
    </row>
    <row customHeight="1" ht="14.699999999999998">
      <c r="Q37" s="383"/>
      <c r="R37" s="383"/>
      <c r="S37" s="1282"/>
      <c r="T37" s="370"/>
      <c r="U37" s="1251"/>
      <c r="V37" s="2272"/>
      <c r="W37" s="2272"/>
      <c r="X37" s="2272"/>
      <c r="Y37" s="2272"/>
      <c r="Z37" s="2272"/>
      <c r="AA37" s="2272"/>
      <c r="AB37" s="2272"/>
      <c r="AC37" s="2272"/>
      <c r="AD37" s="2272"/>
      <c r="AE37" s="2272"/>
      <c r="AF37" s="2272"/>
      <c r="AG37" s="2272"/>
      <c r="AH37" s="2272"/>
      <c r="AI37" s="2272"/>
      <c r="AJ37" s="2272"/>
      <c r="AK37" s="2272"/>
      <c r="AS37" s="1162">
        <v>14</v>
      </c>
    </row>
    <row customHeight="1" ht="14.699999999999998">
      <c r="Q38" s="383"/>
      <c r="R38" s="383"/>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62">
        <v>14</v>
      </c>
    </row>
    <row customHeight="1" ht="14.699999999999998">
      <c r="Q39" s="383"/>
      <c r="R39" s="383"/>
      <c r="S39" s="2293" t="s">
        <v>87</v>
      </c>
      <c r="T39" s="2229" t="s">
        <v>427</v>
      </c>
      <c r="U39" s="308"/>
      <c r="V39" s="2294" t="s">
        <v>428</v>
      </c>
      <c r="W39" s="2295"/>
      <c r="X39" s="2295"/>
      <c r="Y39" s="2295"/>
      <c r="Z39" s="2295"/>
      <c r="AA39" s="2295"/>
      <c r="AB39" s="2296"/>
      <c r="AC39" s="2297" t="s">
        <v>429</v>
      </c>
      <c r="AD39" s="2294" t="s">
        <v>428</v>
      </c>
      <c r="AE39" s="2295"/>
      <c r="AF39" s="2295"/>
      <c r="AG39" s="2295"/>
      <c r="AH39" s="2295"/>
      <c r="AI39" s="2295"/>
      <c r="AJ39" s="2296"/>
      <c r="AK39" s="2297" t="s">
        <v>430</v>
      </c>
      <c r="AL39" s="2300" t="s">
        <v>431</v>
      </c>
      <c r="AM39" s="2147"/>
      <c r="AS39" s="1162">
        <v>14</v>
      </c>
    </row>
    <row customHeight="1" ht="35.699999999999996">
      <c r="Q40" s="383"/>
      <c r="R40" s="383"/>
      <c r="S40" s="2293"/>
      <c r="T40" s="2229"/>
      <c r="U40" s="1038"/>
      <c r="V40" s="2280" t="s">
        <v>432</v>
      </c>
      <c r="W40" s="2303"/>
      <c r="X40" s="2282" t="s">
        <v>434</v>
      </c>
      <c r="Y40" s="2283"/>
      <c r="Z40" s="2282" t="s">
        <v>435</v>
      </c>
      <c r="AA40" s="2289"/>
      <c r="AB40" s="2283"/>
      <c r="AC40" s="2298"/>
      <c r="AD40" s="2280" t="s">
        <v>449</v>
      </c>
      <c r="AE40" s="2303"/>
      <c r="AF40" s="2282" t="s">
        <v>434</v>
      </c>
      <c r="AG40" s="2283"/>
      <c r="AH40" s="2282" t="s">
        <v>435</v>
      </c>
      <c r="AI40" s="2289"/>
      <c r="AJ40" s="2283"/>
      <c r="AK40" s="2298"/>
      <c r="AL40" s="2301"/>
      <c r="AM40" s="2147"/>
      <c r="AS40" s="1162">
        <v>34</v>
      </c>
    </row>
    <row customHeight="1" ht="35.699999999999996">
      <c r="A41" s="1377"/>
      <c r="B41" s="1377" t="s">
        <v>136</v>
      </c>
      <c r="C41" s="1377" t="s">
        <v>137</v>
      </c>
      <c r="D41" s="1377" t="s">
        <v>138</v>
      </c>
      <c r="E41" s="1371" t="s">
        <v>436</v>
      </c>
      <c r="F41" s="1371" t="s">
        <v>437</v>
      </c>
      <c r="G41" s="1371" t="s">
        <v>438</v>
      </c>
      <c r="H41" s="1371" t="s">
        <v>439</v>
      </c>
      <c r="I41" s="1371" t="s">
        <v>440</v>
      </c>
      <c r="J41" s="1371" t="s">
        <v>441</v>
      </c>
      <c r="K41" s="1371" t="s">
        <v>442</v>
      </c>
      <c r="L41" s="1371" t="s">
        <v>417</v>
      </c>
      <c r="Q41" s="383"/>
      <c r="R41" s="383"/>
      <c r="S41" s="2293"/>
      <c r="T41" s="2229"/>
      <c r="U41" s="309"/>
      <c r="V41" s="2281"/>
      <c r="W41" s="2304"/>
      <c r="X41" s="1229" t="s">
        <v>443</v>
      </c>
      <c r="Y41" s="1229" t="s">
        <v>444</v>
      </c>
      <c r="Z41" s="1345" t="s">
        <v>445</v>
      </c>
      <c r="AA41" s="2290" t="s">
        <v>446</v>
      </c>
      <c r="AB41" s="2291"/>
      <c r="AC41" s="2299"/>
      <c r="AD41" s="2281"/>
      <c r="AE41" s="2304"/>
      <c r="AF41" s="1229" t="s">
        <v>443</v>
      </c>
      <c r="AG41" s="1229" t="s">
        <v>444</v>
      </c>
      <c r="AH41" s="1345" t="s">
        <v>445</v>
      </c>
      <c r="AI41" s="2290" t="s">
        <v>446</v>
      </c>
      <c r="AJ41" s="2291"/>
      <c r="AK41" s="2299"/>
      <c r="AL41" s="2302"/>
      <c r="AM41" s="2147"/>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92">
        <f>OFFSET(AA42,0,-1)+1</f>
        <v>4</v>
      </c>
      <c r="AB42" s="2292"/>
      <c r="AC42" s="1342">
        <f>OFFSET(AC42,0,-2)+1</f>
        <v>5</v>
      </c>
      <c r="AD42" s="1342">
        <f>OFFSET(AD42,0,-1)+1</f>
        <v>6</v>
      </c>
      <c r="AE42" s="1342"/>
      <c r="AF42" s="1342">
        <f>OFFSET(AF42,0,-1)+1</f>
        <v>1</v>
      </c>
      <c r="AG42" s="1342">
        <f>OFFSET(AG42,0,-1)+1</f>
        <v>2</v>
      </c>
      <c r="AH42" s="1342">
        <f>OFFSET(AH42,0,-1)+1</f>
        <v>3</v>
      </c>
      <c r="AI42" s="2292">
        <f>OFFSET(AI42,0,-1)+1</f>
        <v>4</v>
      </c>
      <c r="AJ42" s="2292"/>
      <c r="AK42" s="1342">
        <f>OFFSET(AK42,0,-2)+1</f>
        <v>5</v>
      </c>
      <c r="AL42" s="1252">
        <f>OFFSET(AL42,0,-1)</f>
        <v>5</v>
      </c>
      <c r="AM42" s="1342">
        <f>OFFSET(AM42,0,-1)+1</f>
        <v>6</v>
      </c>
      <c r="AN42" s="518"/>
      <c r="AO42" s="518"/>
      <c r="AP42" s="518"/>
      <c r="AQ42" s="518"/>
      <c r="AR42" s="518"/>
      <c r="AS42" s="503">
        <v>0</v>
      </c>
    </row>
    <row customHeight="1" ht="22.049999999999997">
      <c r="A43" s="1370" t="s">
        <v>187</v>
      </c>
      <c r="B43" s="1370"/>
      <c r="C43" s="1370"/>
      <c r="D43" s="1370"/>
      <c r="E43" s="2278">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187</v>
      </c>
      <c r="B44" s="1370" t="s">
        <v>188</v>
      </c>
      <c r="C44" s="1370"/>
      <c r="D44" s="1370"/>
      <c r="E44" s="2279"/>
      <c r="F44" s="2278">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65" t="s">
        <v>397</v>
      </c>
      <c r="AO44" s="507"/>
      <c r="AP44" s="507" t="str">
        <f>IF(T44="","",T44)</f>
        <v>Территория действия тарифа</v>
      </c>
      <c r="AQ44" s="507"/>
      <c r="AR44" s="507"/>
      <c r="AS44" s="1162">
        <v>21</v>
      </c>
    </row>
    <row customHeight="1" ht="24">
      <c r="A45" s="1370" t="s">
        <v>187</v>
      </c>
      <c r="B45" s="1370" t="s">
        <v>188</v>
      </c>
      <c r="C45" s="1370" t="s">
        <v>189</v>
      </c>
      <c r="D45" s="1370"/>
      <c r="E45" s="2279"/>
      <c r="F45" s="2279"/>
      <c r="G45" s="2278">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65" t="s">
        <v>399</v>
      </c>
      <c r="AO45" s="507"/>
      <c r="AP45" s="507" t="str">
        <f>IF(T45="","",T45)</f>
        <v>Наименование системы теплоснабжения </v>
      </c>
      <c r="AQ45" s="507"/>
      <c r="AR45" s="507"/>
      <c r="AS45" s="1162">
        <v>23</v>
      </c>
    </row>
    <row customHeight="1" ht="22.049999999999997">
      <c r="A46" s="1370" t="s">
        <v>187</v>
      </c>
      <c r="B46" s="1370" t="s">
        <v>188</v>
      </c>
      <c r="C46" s="1370" t="s">
        <v>189</v>
      </c>
      <c r="D46" s="1370" t="s">
        <v>190</v>
      </c>
      <c r="E46" s="2279"/>
      <c r="F46" s="2279"/>
      <c r="G46" s="2279"/>
      <c r="H46" s="2278">
        <v>1</v>
      </c>
      <c r="I46" s="1370"/>
      <c r="J46" s="1370"/>
      <c r="K46" s="1370"/>
      <c r="L46" s="1371"/>
      <c r="M46" s="1372"/>
      <c r="N46" s="1372"/>
      <c r="O46" s="1372"/>
      <c r="P46" s="361"/>
      <c r="Q46" s="359"/>
      <c r="R46" s="360"/>
      <c r="S46" s="1343" t="str">
        <f>INDEX(PT_DIFFERENTIATION_NUM_IST_TE,MATCH(D46,PT_DIFFERENTIATION_IST_TE_ID,0))</f>
        <v>...</v>
      </c>
      <c r="T46" s="317" t="s">
        <v>400</v>
      </c>
      <c r="U46" s="307"/>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65" t="s">
        <v>401</v>
      </c>
      <c r="AO46" s="507"/>
      <c r="AP46" s="507" t="str">
        <f>IF(T46="","",T46)</f>
        <v>Источник тепловой энергии  </v>
      </c>
      <c r="AQ46" s="507"/>
      <c r="AR46" s="507"/>
      <c r="AS46" s="1162">
        <v>21</v>
      </c>
    </row>
    <row s="1649" customFormat="1" customHeight="1" ht="0">
      <c r="A47" s="1350" t="s">
        <v>187</v>
      </c>
      <c r="B47" s="1350" t="s">
        <v>188</v>
      </c>
      <c r="C47" s="1350" t="s">
        <v>189</v>
      </c>
      <c r="D47" s="1350" t="s">
        <v>190</v>
      </c>
      <c r="E47" s="2279"/>
      <c r="F47" s="2279"/>
      <c r="G47" s="2279"/>
      <c r="H47" s="2279"/>
      <c r="I47" s="2276" t="str">
        <f>S46&amp;".1"</f>
        <v>....1</v>
      </c>
      <c r="J47" s="1350"/>
      <c r="K47" s="1350"/>
      <c r="L47" s="1353" t="s">
        <v>402</v>
      </c>
      <c r="M47" s="517"/>
      <c r="N47" s="517"/>
      <c r="O47" s="517"/>
      <c r="P47" s="2277">
        <v>1</v>
      </c>
      <c r="Q47" s="1338"/>
      <c r="R47" s="363"/>
      <c r="S47" s="1049"/>
      <c r="T47" s="1390"/>
      <c r="U47" s="1391"/>
      <c r="V47" s="2316"/>
      <c r="W47" s="2317"/>
      <c r="X47" s="2317"/>
      <c r="Y47" s="2317"/>
      <c r="Z47" s="2317"/>
      <c r="AA47" s="2317"/>
      <c r="AB47" s="2317"/>
      <c r="AC47" s="2318"/>
      <c r="AD47" s="2316"/>
      <c r="AE47" s="2317"/>
      <c r="AF47" s="2317"/>
      <c r="AG47" s="2317"/>
      <c r="AH47" s="2317"/>
      <c r="AI47" s="2317"/>
      <c r="AJ47" s="2317"/>
      <c r="AK47" s="2317"/>
      <c r="AL47" s="2318"/>
      <c r="AM47" s="1392"/>
      <c r="AO47" s="507"/>
      <c r="AP47" s="507" t="str">
        <f>IF(T47="","",T47)</f>
        <v/>
      </c>
      <c r="AQ47" s="507"/>
      <c r="AR47" s="507"/>
      <c r="AS47" s="518">
        <v>0</v>
      </c>
    </row>
    <row customHeight="1" ht="22.049999999999997">
      <c r="A48" s="1370" t="s">
        <v>187</v>
      </c>
      <c r="B48" s="1370" t="s">
        <v>188</v>
      </c>
      <c r="C48" s="1370" t="s">
        <v>189</v>
      </c>
      <c r="D48" s="1370" t="s">
        <v>190</v>
      </c>
      <c r="E48" s="2279"/>
      <c r="F48" s="2279"/>
      <c r="G48" s="2279"/>
      <c r="H48" s="2279"/>
      <c r="I48" s="2306"/>
      <c r="J48" s="2276" t="str">
        <f>S46&amp;".1"</f>
        <v>....1</v>
      </c>
      <c r="K48" s="1370"/>
      <c r="L48" s="1371" t="s">
        <v>405</v>
      </c>
      <c r="P48" s="2277"/>
      <c r="Q48" s="2277">
        <v>1</v>
      </c>
      <c r="R48" s="364"/>
      <c r="S48" s="1343" t="str">
        <f>$J48</f>
        <v>....1</v>
      </c>
      <c r="T48" s="293" t="s">
        <v>406</v>
      </c>
      <c r="U48" s="307"/>
      <c r="V48" s="2265"/>
      <c r="W48" s="2266"/>
      <c r="X48" s="2266"/>
      <c r="Y48" s="2266"/>
      <c r="Z48" s="2266"/>
      <c r="AA48" s="2266"/>
      <c r="AB48" s="2266"/>
      <c r="AC48" s="2267"/>
      <c r="AD48" s="2265"/>
      <c r="AE48" s="2266"/>
      <c r="AF48" s="2266"/>
      <c r="AG48" s="2266"/>
      <c r="AH48" s="2266"/>
      <c r="AI48" s="2266"/>
      <c r="AJ48" s="2266"/>
      <c r="AK48" s="2266"/>
      <c r="AL48" s="2267"/>
      <c r="AM48" s="1265" t="s">
        <v>407</v>
      </c>
      <c r="AO48" s="507"/>
      <c r="AP48" s="507" t="str">
        <f>IF(T48="","",T48)</f>
        <v>Группа потребителей</v>
      </c>
      <c r="AQ48" s="507"/>
      <c r="AR48" s="507"/>
      <c r="AS48" s="1162">
        <v>21</v>
      </c>
    </row>
    <row customHeight="1" ht="22.049999999999997">
      <c r="A49" s="1370" t="s">
        <v>187</v>
      </c>
      <c r="B49" s="1370" t="s">
        <v>188</v>
      </c>
      <c r="C49" s="1370" t="s">
        <v>189</v>
      </c>
      <c r="D49" s="1370" t="s">
        <v>190</v>
      </c>
      <c r="E49" s="2279"/>
      <c r="F49" s="2279"/>
      <c r="G49" s="2279"/>
      <c r="H49" s="2279"/>
      <c r="I49" s="2306"/>
      <c r="J49" s="2306"/>
      <c r="K49" s="2276" t="str">
        <f>J48&amp;".1"</f>
        <v>....1.1</v>
      </c>
      <c r="L49" s="1371" t="s">
        <v>408</v>
      </c>
      <c r="P49" s="2277"/>
      <c r="Q49" s="2277"/>
      <c r="R49" s="364">
        <v>1</v>
      </c>
      <c r="S49" s="1343" t="str">
        <f>$K49</f>
        <v>....1.1</v>
      </c>
      <c r="T49" s="1354"/>
      <c r="U49" s="307"/>
      <c r="V49" s="758"/>
      <c r="W49" s="332"/>
      <c r="X49" s="758"/>
      <c r="Y49" s="1264"/>
      <c r="Z49" s="2285"/>
      <c r="AA49" s="2127" t="s">
        <v>61</v>
      </c>
      <c r="AB49" s="2285"/>
      <c r="AC49" s="2127" t="s">
        <v>61</v>
      </c>
      <c r="AD49" s="758"/>
      <c r="AE49" s="332"/>
      <c r="AF49" s="758"/>
      <c r="AG49" s="1264"/>
      <c r="AH49" s="2285"/>
      <c r="AI49" s="2127" t="s">
        <v>61</v>
      </c>
      <c r="AJ49" s="2307"/>
      <c r="AK49" s="2127" t="s">
        <v>61</v>
      </c>
      <c r="AL49" s="1355"/>
      <c r="AM49" s="2273" t="s">
        <v>450</v>
      </c>
      <c r="AN49" s="518">
        <f>STRCHECKDATE(V50:AL50)</f>
      </c>
      <c r="AO49" s="507"/>
      <c r="AP49" s="507" t="str">
        <f>IF(T49="","",T49)</f>
        <v/>
      </c>
      <c r="AQ49" s="507"/>
      <c r="AR49" s="507"/>
      <c r="AS49" s="1162">
        <v>21</v>
      </c>
    </row>
    <row customHeight="1" ht="0">
      <c r="A50" s="1370" t="s">
        <v>187</v>
      </c>
      <c r="B50" s="1370" t="s">
        <v>188</v>
      </c>
      <c r="C50" s="1370" t="s">
        <v>189</v>
      </c>
      <c r="D50" s="1370" t="s">
        <v>190</v>
      </c>
      <c r="E50" s="2279"/>
      <c r="F50" s="2279"/>
      <c r="G50" s="2279"/>
      <c r="H50" s="2279"/>
      <c r="I50" s="2306"/>
      <c r="J50" s="2306"/>
      <c r="K50" s="2276"/>
      <c r="L50" s="1371"/>
      <c r="P50" s="2277"/>
      <c r="Q50" s="2277"/>
      <c r="R50" s="364"/>
      <c r="S50" s="1349"/>
      <c r="T50" s="307"/>
      <c r="U50" s="307"/>
      <c r="V50" s="332"/>
      <c r="W50" s="332"/>
      <c r="X50" s="332"/>
      <c r="Y50" s="335" t="str">
        <f>Z49&amp;"-"&amp;AB49</f>
        <v>-</v>
      </c>
      <c r="Z50" s="2286"/>
      <c r="AA50" s="2127"/>
      <c r="AB50" s="2286"/>
      <c r="AC50" s="2127"/>
      <c r="AD50" s="332"/>
      <c r="AE50" s="332"/>
      <c r="AF50" s="332"/>
      <c r="AG50" s="335" t="str">
        <f>AH49&amp;"-"&amp;AJ49</f>
        <v>-</v>
      </c>
      <c r="AH50" s="2286"/>
      <c r="AI50" s="2127"/>
      <c r="AJ50" s="2308"/>
      <c r="AK50" s="2127"/>
      <c r="AL50" s="1356"/>
      <c r="AM50" s="2274"/>
      <c r="AO50" s="507"/>
      <c r="AP50" s="507" t="str">
        <f>IF(T50="","",T50)</f>
        <v/>
      </c>
      <c r="AQ50" s="507"/>
      <c r="AR50" s="507"/>
      <c r="AS50" s="1162">
        <v>0</v>
      </c>
    </row>
    <row customHeight="1" ht="11.549999999999999">
      <c r="A51" s="1370" t="s">
        <v>187</v>
      </c>
      <c r="B51" s="1370" t="s">
        <v>188</v>
      </c>
      <c r="C51" s="1370" t="s">
        <v>189</v>
      </c>
      <c r="D51" s="1370" t="s">
        <v>190</v>
      </c>
      <c r="E51" s="2279"/>
      <c r="F51" s="2279"/>
      <c r="G51" s="2279"/>
      <c r="H51" s="2279"/>
      <c r="I51" s="2306"/>
      <c r="J51" s="2276"/>
      <c r="K51" s="1370"/>
      <c r="L51" s="1371"/>
      <c r="P51" s="2277"/>
      <c r="Q51" s="2277"/>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75"/>
      <c r="AO51" s="507"/>
      <c r="AP51" s="507" t="str">
        <f>IF(T51="","",T51)</f>
        <v>Добавить вид теплоносителя (параметры теплоносителя)</v>
      </c>
      <c r="AQ51" s="507"/>
      <c r="AR51" s="507"/>
      <c r="AS51" s="1162">
        <v>11</v>
      </c>
    </row>
    <row customHeight="1" ht="11.549999999999999">
      <c r="A52" s="1370" t="s">
        <v>187</v>
      </c>
      <c r="B52" s="1370" t="s">
        <v>188</v>
      </c>
      <c r="C52" s="1370" t="s">
        <v>189</v>
      </c>
      <c r="D52" s="1370" t="s">
        <v>190</v>
      </c>
      <c r="E52" s="2279"/>
      <c r="F52" s="2279"/>
      <c r="G52" s="2279"/>
      <c r="H52" s="2279"/>
      <c r="I52" s="2276"/>
      <c r="J52" s="1370"/>
      <c r="K52" s="1370"/>
      <c r="L52" s="1371"/>
      <c r="P52" s="2277"/>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187</v>
      </c>
      <c r="B53" s="1370" t="s">
        <v>188</v>
      </c>
      <c r="C53" s="1370" t="s">
        <v>189</v>
      </c>
      <c r="D53" s="1370" t="s">
        <v>190</v>
      </c>
      <c r="E53" s="2279"/>
      <c r="F53" s="2279"/>
      <c r="G53" s="2279"/>
      <c r="H53" s="2278"/>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187</v>
      </c>
      <c r="B54" s="1350" t="s">
        <v>188</v>
      </c>
      <c r="C54" s="1350" t="s">
        <v>189</v>
      </c>
      <c r="D54" s="1321"/>
      <c r="E54" s="2279"/>
      <c r="F54" s="2279"/>
      <c r="G54" s="2278"/>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187</v>
      </c>
      <c r="B55" s="1350" t="s">
        <v>188</v>
      </c>
      <c r="C55" s="1321"/>
      <c r="D55" s="1321"/>
      <c r="E55" s="2279"/>
      <c r="F55" s="2278"/>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187</v>
      </c>
      <c r="B56" s="1350"/>
      <c r="C56" s="1350"/>
      <c r="D56" s="1350"/>
      <c r="E56" s="2278"/>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447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62">
        <v>14</v>
      </c>
    </row>
    <row customHeight="1" ht="14.699999999999998">
      <c r="O60" s="54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62">
        <v>14</v>
      </c>
    </row>
    <row customHeight="1" ht="14.699999999999998">
      <c r="O61" s="544"/>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62">
        <v>14</v>
      </c>
    </row>
    <row customHeight="1" ht="14.699999999999998">
      <c r="O62" s="544"/>
      <c r="AS62" s="1162">
        <v>14</v>
      </c>
    </row>
    <row customHeight="1" ht="14.699999999999998">
      <c r="O63" s="544"/>
      <c r="S63" s="1260"/>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62">
        <v>14</v>
      </c>
    </row>
    <row customHeight="1" ht="14.699999999999998">
      <c r="O64" s="54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62">
        <v>14</v>
      </c>
    </row>
    <row customHeight="1" ht="14.699999999999998">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62">
        <v>14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732B5-CAA5-02D9-5A55-0.321A71B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45" width="19.140625" hidden="1" customWidth="1"/>
    <col min="14" max="15" style="2417" width="12.28125" hidden="1" customWidth="1"/>
    <col min="16" max="16" style="2417" width="23.421875" hidden="1" customWidth="1"/>
    <col min="17" max="17" style="2417" width="3.7109375" hidden="1" customWidth="1"/>
    <col min="18" max="20" style="351" width="3.00390625" customWidth="1"/>
    <col min="21" max="21" style="2427"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309">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124</v>
      </c>
      <c r="W2" s="307"/>
      <c r="X2" s="2262"/>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4"/>
      <c r="AQ2" s="1265" t="s">
        <v>395</v>
      </c>
      <c r="AS2" s="507"/>
      <c r="AT2" s="507" t="str">
        <f>IF(V2="","",V2)</f>
        <v>Наименование тарифа</v>
      </c>
      <c r="AU2" s="507"/>
      <c r="AV2" s="507"/>
      <c r="AW2" s="1162">
        <v>0</v>
      </c>
    </row>
    <row customHeight="1" ht="21" hidden="1">
      <c r="A3" s="1274"/>
      <c r="B3" s="1274"/>
      <c r="C3" s="1274"/>
      <c r="D3" s="1274"/>
      <c r="E3" s="2310"/>
      <c r="F3" s="2309">
        <v>1</v>
      </c>
      <c r="G3" s="1274"/>
      <c r="H3" s="1274"/>
      <c r="I3" s="1274"/>
      <c r="J3" s="1274"/>
      <c r="K3" s="1274"/>
      <c r="L3" s="1274"/>
      <c r="M3" s="1317"/>
      <c r="N3" s="695"/>
      <c r="O3" s="695"/>
      <c r="P3" s="695"/>
      <c r="Q3" s="1339"/>
      <c r="R3" s="359"/>
      <c r="S3" s="516"/>
      <c r="T3" s="360"/>
      <c r="U3" s="1343">
        <f>INDEX(PT_DIFFERENTIATION_NUM_TER,MATCH(B3,PT_DIFFERENTIATION_TER_ID,0))</f>
      </c>
      <c r="V3" s="315" t="s">
        <v>396</v>
      </c>
      <c r="W3" s="307"/>
      <c r="X3" s="2262"/>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4"/>
      <c r="AQ3" s="1265" t="s">
        <v>397</v>
      </c>
      <c r="AS3" s="507"/>
      <c r="AT3" s="507" t="str">
        <f>IF(V3="","",V3)</f>
        <v>Территория действия тарифа</v>
      </c>
      <c r="AU3" s="507"/>
      <c r="AV3" s="507"/>
      <c r="AW3" s="1162">
        <v>0</v>
      </c>
    </row>
    <row customHeight="1" ht="22.5" hidden="1">
      <c r="A4" s="1274"/>
      <c r="B4" s="1274"/>
      <c r="C4" s="1274"/>
      <c r="D4" s="1274"/>
      <c r="E4" s="2310"/>
      <c r="F4" s="2310"/>
      <c r="G4" s="2309">
        <v>1</v>
      </c>
      <c r="H4" s="1274"/>
      <c r="I4" s="1274"/>
      <c r="J4" s="1274"/>
      <c r="K4" s="1274"/>
      <c r="L4" s="1274"/>
      <c r="M4" s="1317"/>
      <c r="N4" s="695"/>
      <c r="O4" s="695"/>
      <c r="P4" s="695"/>
      <c r="Q4" s="361"/>
      <c r="R4" s="359"/>
      <c r="S4" s="516"/>
      <c r="T4" s="360"/>
      <c r="U4" s="1343">
        <f>INDEX(PT_DIFFERENTIATION_NUM_CS,MATCH(C4,PT_DIFFERENTIATION_CS_ID,0))</f>
      </c>
      <c r="V4" s="316" t="s">
        <v>398</v>
      </c>
      <c r="W4" s="307"/>
      <c r="X4" s="2262"/>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4"/>
      <c r="AQ4" s="1265" t="s">
        <v>399</v>
      </c>
      <c r="AS4" s="507"/>
      <c r="AT4" s="507" t="str">
        <f>IF(V4="","",V4)</f>
        <v>Наименование системы теплоснабжения </v>
      </c>
      <c r="AU4" s="507"/>
      <c r="AV4" s="507"/>
      <c r="AW4" s="1162">
        <v>0</v>
      </c>
    </row>
    <row customHeight="1" ht="21" hidden="1">
      <c r="A5" s="1274"/>
      <c r="B5" s="1274"/>
      <c r="C5" s="1274"/>
      <c r="D5" s="1274"/>
      <c r="E5" s="2310"/>
      <c r="F5" s="2310"/>
      <c r="G5" s="2310"/>
      <c r="H5" s="2309">
        <v>1</v>
      </c>
      <c r="I5" s="1274"/>
      <c r="J5" s="1274"/>
      <c r="K5" s="1274"/>
      <c r="L5" s="1274"/>
      <c r="M5" s="1317"/>
      <c r="N5" s="695"/>
      <c r="O5" s="695"/>
      <c r="P5" s="695"/>
      <c r="Q5" s="361"/>
      <c r="R5" s="359"/>
      <c r="S5" s="516"/>
      <c r="T5" s="360"/>
      <c r="U5" s="1343">
        <f>INDEX(PT_DIFFERENTIATION_NUM_IST_TE,MATCH(D5,PT_DIFFERENTIATION_IST_TE_ID,0))</f>
      </c>
      <c r="V5" s="317" t="s">
        <v>400</v>
      </c>
      <c r="W5" s="307"/>
      <c r="X5" s="2262"/>
      <c r="Y5" s="2263"/>
      <c r="Z5" s="2263"/>
      <c r="AA5" s="2263"/>
      <c r="AB5" s="2263"/>
      <c r="AC5" s="2263"/>
      <c r="AD5" s="2263"/>
      <c r="AE5" s="2263"/>
      <c r="AF5" s="2264"/>
      <c r="AG5" s="2262">
        <f>INDEX(PT_DIFFERENTIATION_IST_TE,MATCH(D5,PT_DIFFERENTIATION_IST_TE_ID,0))</f>
      </c>
      <c r="AH5" s="2263"/>
      <c r="AI5" s="2263"/>
      <c r="AJ5" s="2263"/>
      <c r="AK5" s="2263"/>
      <c r="AL5" s="2263"/>
      <c r="AM5" s="2263"/>
      <c r="AN5" s="2263"/>
      <c r="AO5" s="2263"/>
      <c r="AP5" s="2264"/>
      <c r="AQ5" s="1265" t="s">
        <v>401</v>
      </c>
      <c r="AS5" s="507"/>
      <c r="AT5" s="507" t="str">
        <f>IF(V5="","",V5)</f>
        <v>Источник тепловой энергии  </v>
      </c>
      <c r="AU5" s="507"/>
      <c r="AV5" s="507"/>
      <c r="AW5" s="1162">
        <v>0</v>
      </c>
    </row>
    <row customHeight="1" ht="14.25" hidden="1">
      <c r="A6" s="1274"/>
      <c r="B6" s="1274"/>
      <c r="C6" s="1274"/>
      <c r="D6" s="1274"/>
      <c r="E6" s="2310"/>
      <c r="F6" s="2310"/>
      <c r="G6" s="2310"/>
      <c r="H6" s="2310"/>
      <c r="I6" s="2147">
        <f>U5&amp;".1"</f>
      </c>
      <c r="J6" s="1274"/>
      <c r="K6" s="1274"/>
      <c r="L6" s="1274"/>
      <c r="M6" s="1317" t="s">
        <v>402</v>
      </c>
      <c r="N6" s="516"/>
      <c r="Q6" s="2277">
        <v>1</v>
      </c>
      <c r="R6" s="1338"/>
      <c r="S6" s="1338"/>
      <c r="T6" s="363"/>
      <c r="U6" s="1049"/>
      <c r="V6" s="1390"/>
      <c r="W6" s="1391"/>
      <c r="X6" s="2316"/>
      <c r="Y6" s="2317"/>
      <c r="Z6" s="2317"/>
      <c r="AA6" s="2317"/>
      <c r="AB6" s="2317"/>
      <c r="AC6" s="2317"/>
      <c r="AD6" s="2317"/>
      <c r="AE6" s="2317"/>
      <c r="AF6" s="2318"/>
      <c r="AG6" s="2316"/>
      <c r="AH6" s="2317"/>
      <c r="AI6" s="2317"/>
      <c r="AJ6" s="2317"/>
      <c r="AK6" s="2317"/>
      <c r="AL6" s="2317"/>
      <c r="AM6" s="2317"/>
      <c r="AN6" s="2317"/>
      <c r="AO6" s="2317"/>
      <c r="AP6" s="2318"/>
      <c r="AQ6" s="1392"/>
      <c r="AS6" s="507"/>
      <c r="AT6" s="507" t="str">
        <f>IF(V6="","",V6)</f>
        <v/>
      </c>
      <c r="AU6" s="507"/>
      <c r="AV6" s="507"/>
      <c r="AW6" s="1162">
        <v>0</v>
      </c>
    </row>
    <row customHeight="1" ht="21" hidden="1">
      <c r="A7" s="1274"/>
      <c r="B7" s="1274"/>
      <c r="C7" s="1274"/>
      <c r="D7" s="1274"/>
      <c r="E7" s="2310"/>
      <c r="F7" s="2310"/>
      <c r="G7" s="2310"/>
      <c r="H7" s="2310"/>
      <c r="I7" s="2121"/>
      <c r="J7" s="2147">
        <f>I6&amp;".1"</f>
      </c>
      <c r="K7" s="1274"/>
      <c r="L7" s="1274"/>
      <c r="M7" s="1317" t="s">
        <v>405</v>
      </c>
      <c r="N7" s="516"/>
      <c r="O7" s="334"/>
      <c r="Q7" s="2277"/>
      <c r="R7" s="2277">
        <v>1</v>
      </c>
      <c r="S7" s="525"/>
      <c r="T7" s="364"/>
      <c r="U7" s="1343">
        <f>$J7</f>
      </c>
      <c r="V7" s="293" t="s">
        <v>406</v>
      </c>
      <c r="W7" s="307"/>
      <c r="X7" s="2265"/>
      <c r="Y7" s="2266"/>
      <c r="Z7" s="2266"/>
      <c r="AA7" s="2266"/>
      <c r="AB7" s="2266"/>
      <c r="AC7" s="2255"/>
      <c r="AD7" s="2255"/>
      <c r="AE7" s="2255"/>
      <c r="AF7" s="2328"/>
      <c r="AG7" s="2265"/>
      <c r="AH7" s="2266"/>
      <c r="AI7" s="2266"/>
      <c r="AJ7" s="2266"/>
      <c r="AK7" s="2266"/>
      <c r="AL7" s="2266"/>
      <c r="AM7" s="2266"/>
      <c r="AN7" s="2266"/>
      <c r="AO7" s="2266"/>
      <c r="AP7" s="2267"/>
      <c r="AQ7" s="1265" t="s">
        <v>407</v>
      </c>
      <c r="AS7" s="507"/>
      <c r="AT7" s="507" t="str">
        <f>IF(V7="","",V7)</f>
        <v>Группа потребителей</v>
      </c>
      <c r="AU7" s="507"/>
      <c r="AV7" s="507"/>
      <c r="AW7" s="1162">
        <v>0</v>
      </c>
    </row>
    <row customHeight="1" ht="21" hidden="1">
      <c r="A8" s="1274"/>
      <c r="B8" s="1274"/>
      <c r="C8" s="1274"/>
      <c r="D8" s="1274"/>
      <c r="E8" s="2310"/>
      <c r="F8" s="2310"/>
      <c r="G8" s="2310"/>
      <c r="H8" s="2310"/>
      <c r="I8" s="2121"/>
      <c r="J8" s="2121"/>
      <c r="K8" s="2147">
        <f>J7&amp;".1"</f>
      </c>
      <c r="L8" s="146"/>
      <c r="M8" s="1317" t="s">
        <v>408</v>
      </c>
      <c r="N8" s="516"/>
      <c r="O8" s="334"/>
      <c r="P8" s="334"/>
      <c r="Q8" s="2277"/>
      <c r="R8" s="2277"/>
      <c r="S8" s="2277">
        <v>1</v>
      </c>
      <c r="T8" s="364"/>
      <c r="U8" s="1343">
        <f>$K8</f>
      </c>
      <c r="V8" s="1354"/>
      <c r="W8" s="307"/>
      <c r="X8" s="758"/>
      <c r="Y8" s="758"/>
      <c r="Z8" s="758"/>
      <c r="AA8" s="758"/>
      <c r="AB8" s="1412"/>
      <c r="AC8" s="2285"/>
      <c r="AD8" s="2127" t="s">
        <v>61</v>
      </c>
      <c r="AE8" s="2285"/>
      <c r="AF8" s="2127" t="s">
        <v>61</v>
      </c>
      <c r="AG8" s="1414"/>
      <c r="AH8" s="758"/>
      <c r="AI8" s="758"/>
      <c r="AJ8" s="758"/>
      <c r="AK8" s="1264"/>
      <c r="AL8" s="2285"/>
      <c r="AM8" s="2127" t="s">
        <v>61</v>
      </c>
      <c r="AN8" s="2285"/>
      <c r="AO8" s="2127" t="s">
        <v>61</v>
      </c>
      <c r="AP8" s="332"/>
      <c r="AQ8" s="1314" t="s">
        <v>451</v>
      </c>
      <c r="AR8" s="518">
        <f>STRCHECKDATE(X10:AP10)</f>
      </c>
      <c r="AS8" s="507"/>
      <c r="AT8" s="507" t="str">
        <f>IF(V8="","",V8)</f>
        <v/>
      </c>
      <c r="AU8" s="507"/>
      <c r="AV8" s="507"/>
      <c r="AW8" s="1162">
        <v>0</v>
      </c>
    </row>
    <row customHeight="1" ht="21" hidden="1">
      <c r="A9" s="1274"/>
      <c r="B9" s="1274"/>
      <c r="C9" s="1274"/>
      <c r="D9" s="1274"/>
      <c r="E9" s="2310"/>
      <c r="F9" s="2310"/>
      <c r="G9" s="2310"/>
      <c r="H9" s="2310"/>
      <c r="I9" s="2121"/>
      <c r="J9" s="2121"/>
      <c r="K9" s="2121"/>
      <c r="L9" s="2147">
        <f>K8&amp;".1"</f>
      </c>
      <c r="M9" s="1317"/>
      <c r="N9" s="516"/>
      <c r="O9" s="334"/>
      <c r="P9" s="334"/>
      <c r="Q9" s="2277"/>
      <c r="R9" s="2277"/>
      <c r="S9" s="2277"/>
      <c r="T9" s="364"/>
      <c r="U9" s="1343">
        <f>$L9</f>
      </c>
      <c r="V9" s="1398"/>
      <c r="W9" s="307"/>
      <c r="X9" s="332"/>
      <c r="Y9" s="758"/>
      <c r="Z9" s="758"/>
      <c r="AA9" s="758"/>
      <c r="AB9" s="1412"/>
      <c r="AC9" s="2329"/>
      <c r="AD9" s="2127"/>
      <c r="AE9" s="2329"/>
      <c r="AF9" s="2127"/>
      <c r="AG9" s="1414"/>
      <c r="AH9" s="758"/>
      <c r="AI9" s="758"/>
      <c r="AJ9" s="758"/>
      <c r="AK9" s="1264"/>
      <c r="AL9" s="2329"/>
      <c r="AM9" s="2127"/>
      <c r="AN9" s="2329"/>
      <c r="AO9" s="2127"/>
      <c r="AP9" s="332"/>
      <c r="AQ9" s="2273" t="s">
        <v>452</v>
      </c>
      <c r="AS9" s="507"/>
      <c r="AT9" s="507"/>
      <c r="AU9" s="507"/>
      <c r="AV9" s="507"/>
      <c r="AW9" s="1162">
        <v>0</v>
      </c>
    </row>
    <row customHeight="1" ht="14.25" hidden="1">
      <c r="A10" s="1274"/>
      <c r="B10" s="1274"/>
      <c r="C10" s="1274"/>
      <c r="D10" s="1274"/>
      <c r="E10" s="2310"/>
      <c r="F10" s="2310"/>
      <c r="G10" s="2310"/>
      <c r="H10" s="2310"/>
      <c r="I10" s="2121"/>
      <c r="J10" s="2121"/>
      <c r="K10" s="2121"/>
      <c r="L10" s="2147"/>
      <c r="M10" s="1317"/>
      <c r="N10" s="516"/>
      <c r="O10" s="334"/>
      <c r="P10" s="334"/>
      <c r="Q10" s="2277"/>
      <c r="R10" s="2277"/>
      <c r="S10" s="2277"/>
      <c r="T10" s="364"/>
      <c r="U10" s="1349"/>
      <c r="V10" s="307"/>
      <c r="W10" s="307"/>
      <c r="X10" s="332"/>
      <c r="Y10" s="332"/>
      <c r="Z10" s="332"/>
      <c r="AA10" s="332"/>
      <c r="AB10" s="1413" t="str">
        <f>AC8&amp;"-"&amp;AE8</f>
        <v>-</v>
      </c>
      <c r="AC10" s="2329"/>
      <c r="AD10" s="2127"/>
      <c r="AE10" s="2329"/>
      <c r="AF10" s="2127"/>
      <c r="AG10" s="1389"/>
      <c r="AH10" s="332"/>
      <c r="AI10" s="332"/>
      <c r="AJ10" s="332"/>
      <c r="AK10" s="335" t="str">
        <f>AL8&amp;"-"&amp;AN8</f>
        <v>-</v>
      </c>
      <c r="AL10" s="2329"/>
      <c r="AM10" s="2127"/>
      <c r="AN10" s="2329"/>
      <c r="AO10" s="2127"/>
      <c r="AP10" s="332"/>
      <c r="AQ10" s="2274"/>
      <c r="AS10" s="507"/>
      <c r="AT10" s="507" t="str">
        <f>IF(V10="","",V10)</f>
        <v/>
      </c>
      <c r="AU10" s="507"/>
      <c r="AV10" s="507"/>
      <c r="AW10" s="1162">
        <v>0</v>
      </c>
    </row>
    <row customHeight="1" ht="11.25" hidden="1">
      <c r="A11" s="1274"/>
      <c r="B11" s="1274"/>
      <c r="C11" s="1274"/>
      <c r="D11" s="1274"/>
      <c r="E11" s="2310"/>
      <c r="F11" s="2310"/>
      <c r="G11" s="2310"/>
      <c r="H11" s="2310"/>
      <c r="I11" s="2121"/>
      <c r="J11" s="2121"/>
      <c r="K11" s="2147"/>
      <c r="L11" s="1274"/>
      <c r="M11" s="1317"/>
      <c r="N11" s="516"/>
      <c r="O11" s="334"/>
      <c r="P11" s="334"/>
      <c r="Q11" s="2277"/>
      <c r="R11" s="2277"/>
      <c r="S11" s="2277"/>
      <c r="T11" s="364"/>
      <c r="U11" s="1285"/>
      <c r="V11" s="295" t="s">
        <v>453</v>
      </c>
      <c r="W11" s="1399"/>
      <c r="X11" s="1400"/>
      <c r="Y11" s="1400"/>
      <c r="Z11" s="1400"/>
      <c r="AA11" s="1400"/>
      <c r="AB11" s="1401"/>
      <c r="AC11" s="2329"/>
      <c r="AD11" s="2127"/>
      <c r="AE11" s="2329"/>
      <c r="AF11" s="2127"/>
      <c r="AG11" s="1400"/>
      <c r="AH11" s="1400"/>
      <c r="AI11" s="1400"/>
      <c r="AJ11" s="1400"/>
      <c r="AK11" s="1401"/>
      <c r="AL11" s="2329"/>
      <c r="AM11" s="2127"/>
      <c r="AN11" s="2329"/>
      <c r="AO11" s="2127"/>
      <c r="AP11" s="1402"/>
      <c r="AQ11" s="2274"/>
      <c r="AS11" s="507"/>
      <c r="AT11" s="507"/>
      <c r="AU11" s="507"/>
      <c r="AV11" s="507"/>
      <c r="AW11" s="1162">
        <v>0</v>
      </c>
    </row>
    <row customHeight="1" ht="15" hidden="1">
      <c r="A12" s="1274"/>
      <c r="B12" s="1274"/>
      <c r="C12" s="1274"/>
      <c r="D12" s="1274"/>
      <c r="E12" s="2310"/>
      <c r="F12" s="2310"/>
      <c r="G12" s="2310"/>
      <c r="H12" s="2310"/>
      <c r="I12" s="2121"/>
      <c r="J12" s="2147"/>
      <c r="K12" s="1274"/>
      <c r="L12" s="1274"/>
      <c r="M12" s="1317"/>
      <c r="N12" s="516"/>
      <c r="O12" s="334"/>
      <c r="Q12" s="2277"/>
      <c r="R12" s="2277"/>
      <c r="S12" s="1338"/>
      <c r="T12" s="363"/>
      <c r="U12" s="1285"/>
      <c r="V12" s="294" t="s">
        <v>410</v>
      </c>
      <c r="W12" s="374"/>
      <c r="X12" s="374"/>
      <c r="Y12" s="374"/>
      <c r="Z12" s="374"/>
      <c r="AA12" s="374"/>
      <c r="AB12" s="374"/>
      <c r="AC12" s="1415"/>
      <c r="AD12" s="1415"/>
      <c r="AE12" s="1415"/>
      <c r="AF12" s="1415"/>
      <c r="AG12" s="374"/>
      <c r="AH12" s="374"/>
      <c r="AI12" s="374"/>
      <c r="AJ12" s="374"/>
      <c r="AK12" s="374"/>
      <c r="AL12" s="374"/>
      <c r="AM12" s="374"/>
      <c r="AN12" s="374"/>
      <c r="AO12" s="374"/>
      <c r="AP12" s="331"/>
      <c r="AQ12" s="2275"/>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310"/>
      <c r="F13" s="2310"/>
      <c r="G13" s="2310"/>
      <c r="H13" s="2310"/>
      <c r="I13" s="2147"/>
      <c r="J13" s="1274"/>
      <c r="K13" s="1274"/>
      <c r="L13" s="1274"/>
      <c r="M13" s="1317"/>
      <c r="N13" s="516"/>
      <c r="Q13" s="2277"/>
      <c r="R13" s="1338"/>
      <c r="S13" s="1338"/>
      <c r="T13" s="363"/>
      <c r="U13" s="1285"/>
      <c r="V13" s="372" t="s">
        <v>411</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310"/>
      <c r="F14" s="2310"/>
      <c r="G14" s="2310"/>
      <c r="H14" s="2309"/>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310"/>
      <c r="F15" s="2310"/>
      <c r="G15" s="2309"/>
      <c r="H15" s="1381"/>
      <c r="I15" s="1381"/>
      <c r="J15" s="1381"/>
      <c r="K15" s="1381"/>
      <c r="L15" s="1381"/>
      <c r="M15" s="1384"/>
      <c r="N15" s="1385"/>
      <c r="O15" s="1385"/>
      <c r="P15" s="358"/>
      <c r="Q15" s="1323"/>
      <c r="R15" s="1324"/>
      <c r="S15" s="1323"/>
      <c r="T15" s="1323"/>
      <c r="U15" s="1325"/>
      <c r="V15" s="1326" t="s">
        <v>413</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310"/>
      <c r="F16" s="2309"/>
      <c r="G16" s="1381"/>
      <c r="H16" s="1381"/>
      <c r="I16" s="1381"/>
      <c r="J16" s="1381"/>
      <c r="K16" s="1381"/>
      <c r="L16" s="1381"/>
      <c r="M16" s="1384"/>
      <c r="N16" s="1386"/>
      <c r="O16" s="1386"/>
      <c r="P16" s="358"/>
      <c r="Q16" s="1323"/>
      <c r="R16" s="1324"/>
      <c r="S16" s="1323"/>
      <c r="T16" s="1323"/>
      <c r="U16" s="1329"/>
      <c r="V16" s="1330" t="s">
        <v>414</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309"/>
      <c r="F17" s="1381"/>
      <c r="G17" s="1381"/>
      <c r="H17" s="1381"/>
      <c r="I17" s="1381"/>
      <c r="J17" s="1381"/>
      <c r="K17" s="1381"/>
      <c r="L17" s="1381"/>
      <c r="M17" s="1384"/>
      <c r="N17" s="1386"/>
      <c r="O17" s="1386"/>
      <c r="P17" s="358"/>
      <c r="Q17" s="1323"/>
      <c r="R17" s="1324"/>
      <c r="S17" s="1323"/>
      <c r="T17" s="1323"/>
      <c r="U17" s="1329"/>
      <c r="V17" s="1332" t="s">
        <v>415</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87"/>
      <c r="AM19" s="2288" t="s">
        <v>61</v>
      </c>
      <c r="AN19" s="2287"/>
      <c r="AO19" s="2288" t="s">
        <v>61</v>
      </c>
      <c r="AW19" s="1162">
        <v>0</v>
      </c>
    </row>
    <row customHeight="1" ht="14.25" hidden="1">
      <c r="AG20" s="1367"/>
      <c r="AH20" s="1367"/>
      <c r="AI20" s="1367"/>
      <c r="AJ20" s="1367"/>
      <c r="AK20" s="1368"/>
      <c r="AL20" s="2287"/>
      <c r="AM20" s="2288"/>
      <c r="AN20" s="2287"/>
      <c r="AO20" s="2288"/>
      <c r="AW20" s="1162">
        <v>0</v>
      </c>
    </row>
    <row customHeight="1" ht="14.25" hidden="1">
      <c r="AG21" s="1367"/>
      <c r="AH21" s="1367"/>
      <c r="AI21" s="1367"/>
      <c r="AJ21" s="1367"/>
      <c r="AK21" s="1368"/>
      <c r="AL21" s="2287"/>
      <c r="AM21" s="2288"/>
      <c r="AN21" s="2287"/>
      <c r="AO21" s="2288"/>
      <c r="AW21" s="1162">
        <v>0</v>
      </c>
    </row>
    <row customHeight="1" ht="14.25" hidden="1">
      <c r="AG22" s="1367"/>
      <c r="AH22" s="1367"/>
      <c r="AI22" s="1367"/>
      <c r="AJ22" s="1367"/>
      <c r="AK22" s="335" t="str">
        <f>AL19&amp;"-"&amp;AN19</f>
        <v>-</v>
      </c>
      <c r="AL22" s="2288"/>
      <c r="AM22" s="2288"/>
      <c r="AN22" s="2288"/>
      <c r="AO22" s="2288"/>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416</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417</v>
      </c>
      <c r="Q26" s="1369"/>
      <c r="R26" s="1378"/>
      <c r="S26" s="1378"/>
      <c r="T26" s="1378"/>
      <c r="U26" s="736"/>
      <c r="V26" s="1167" t="s">
        <v>418</v>
      </c>
      <c r="AD26" s="193" t="s">
        <v>419</v>
      </c>
      <c r="AF26" s="193" t="s">
        <v>420</v>
      </c>
      <c r="AG26" s="1167" t="s">
        <v>418</v>
      </c>
      <c r="AM26" s="193" t="s">
        <v>421</v>
      </c>
      <c r="AO26" s="193" t="s">
        <v>420</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6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8"/>
      <c r="W30" s="2268"/>
      <c r="X30" s="2268"/>
      <c r="Y30" s="2268"/>
      <c r="Z30" s="2268"/>
      <c r="AA30" s="2268"/>
      <c r="AB30" s="2268"/>
      <c r="AC30" s="2268"/>
      <c r="AD30" s="2268"/>
      <c r="AE30" s="2268"/>
      <c r="AF30" s="2268"/>
      <c r="AG30" s="2268"/>
      <c r="AH30" s="2268"/>
      <c r="AI30" s="2268"/>
      <c r="AJ30" s="2268"/>
      <c r="AK30" s="2268"/>
      <c r="AL30" s="2268"/>
      <c r="AM30" s="2268"/>
      <c r="AN30" s="2268"/>
      <c r="AO30" s="1250"/>
      <c r="AW30" s="1162">
        <v>54</v>
      </c>
    </row>
    <row customHeight="1" ht="14.699999999999998">
      <c r="R31" s="383"/>
      <c r="S31" s="383"/>
      <c r="T31" s="383"/>
      <c r="U31" s="2269" t="str">
        <f>IF(org=0,"Не определено",org)</f>
        <v>ИМУП «ПОСЖИЛКОМСЕРВИС»</v>
      </c>
      <c r="V31" s="2269"/>
      <c r="W31" s="2269"/>
      <c r="X31" s="2269"/>
      <c r="Y31" s="2269"/>
      <c r="Z31" s="2269"/>
      <c r="AA31" s="2269"/>
      <c r="AB31" s="2269"/>
      <c r="AC31" s="2269"/>
      <c r="AD31" s="2269"/>
      <c r="AE31" s="2269"/>
      <c r="AF31" s="2269"/>
      <c r="AG31" s="2269"/>
      <c r="AH31" s="2269"/>
      <c r="AI31" s="2269"/>
      <c r="AJ31" s="2269"/>
      <c r="AK31" s="2269"/>
      <c r="AL31" s="2269"/>
      <c r="AM31" s="2269"/>
      <c r="AN31" s="2269"/>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57" customFormat="1" customHeight="1" ht="25.5" hidden="1">
      <c r="A33" s="1255"/>
      <c r="B33" s="1255"/>
      <c r="C33" s="1255"/>
      <c r="D33" s="1255"/>
      <c r="E33" s="1255"/>
      <c r="F33" s="1255"/>
      <c r="G33" s="1255"/>
      <c r="H33" s="1255"/>
      <c r="I33" s="1255"/>
      <c r="J33" s="1255"/>
      <c r="K33" s="1255"/>
      <c r="L33" s="1255"/>
      <c r="M33" s="1387"/>
      <c r="N33" s="1255"/>
      <c r="O33" s="1255"/>
      <c r="P33" s="1255"/>
      <c r="U33" s="2270" t="s">
        <v>41</v>
      </c>
      <c r="V33" s="2270"/>
      <c r="W33" s="1379"/>
      <c r="X33" s="2271" t="str">
        <f>IF(TITLE_NAME_OR_PR_CHANGE="",IF(TITLE_NAME_OR_PR="","",TITLE_NAME_OR_PR),TITLE_NAME_OR_PR_CHANGE)</f>
        <v/>
      </c>
      <c r="Y33" s="2271"/>
      <c r="Z33" s="2271"/>
      <c r="AA33" s="2271"/>
      <c r="AB33" s="2271"/>
      <c r="AC33" s="2271"/>
      <c r="AD33" s="2271"/>
      <c r="AE33" s="2271"/>
      <c r="AF33" s="333"/>
      <c r="AG33" s="2271" t="str">
        <f>IF(TITLE_NAME_OR_PR_CHANGE="",IF(TITLE_NAME_OR_PR="","",TITLE_NAME_OR_PR),TITLE_NAME_OR_PR_CHANGE)</f>
        <v/>
      </c>
      <c r="AH33" s="2271"/>
      <c r="AI33" s="2271"/>
      <c r="AJ33" s="2271"/>
      <c r="AK33" s="2271"/>
      <c r="AL33" s="2271"/>
      <c r="AM33" s="2271"/>
      <c r="AN33" s="2271"/>
      <c r="AO33" s="333"/>
      <c r="AP33" s="333"/>
      <c r="AQ33" s="287"/>
      <c r="AR33" s="375"/>
      <c r="AS33" s="375"/>
      <c r="AT33" s="375"/>
      <c r="AU33" s="375"/>
      <c r="AV33" s="375"/>
      <c r="AW33" s="425">
        <v>0</v>
      </c>
    </row>
    <row s="1857" customFormat="1" customHeight="1" ht="18.75" hidden="1">
      <c r="A34" s="1255"/>
      <c r="B34" s="1255"/>
      <c r="C34" s="1255"/>
      <c r="D34" s="1255"/>
      <c r="E34" s="1255"/>
      <c r="F34" s="1255"/>
      <c r="G34" s="1255"/>
      <c r="H34" s="1255"/>
      <c r="I34" s="1255"/>
      <c r="J34" s="1255"/>
      <c r="K34" s="1255"/>
      <c r="L34" s="1255"/>
      <c r="M34" s="1387"/>
      <c r="N34" s="1255"/>
      <c r="O34" s="1255"/>
      <c r="P34" s="1255"/>
      <c r="U34" s="2270" t="s">
        <v>422</v>
      </c>
      <c r="V34" s="2270"/>
      <c r="W34" s="1379"/>
      <c r="X34" s="2284" t="str">
        <f>IF(TITLE_DATE_PR_CHANGE="",IF(TITLE_DATE_PR="","",TITLE_DATE_PR),TITLE_DATE_PR_CHANGE)</f>
        <v/>
      </c>
      <c r="Y34" s="2284"/>
      <c r="Z34" s="2284"/>
      <c r="AA34" s="2284"/>
      <c r="AB34" s="2284"/>
      <c r="AC34" s="2284"/>
      <c r="AD34" s="2284"/>
      <c r="AE34" s="2284"/>
      <c r="AF34" s="333"/>
      <c r="AG34" s="2284" t="str">
        <f>IF(TITLE_DATE_PR_CHANGE="",IF(TITLE_DATE_PR="","",TITLE_DATE_PR),TITLE_DATE_PR_CHANGE)</f>
        <v/>
      </c>
      <c r="AH34" s="2284"/>
      <c r="AI34" s="2284"/>
      <c r="AJ34" s="2284"/>
      <c r="AK34" s="2284"/>
      <c r="AL34" s="2284"/>
      <c r="AM34" s="2284"/>
      <c r="AN34" s="2284"/>
      <c r="AO34" s="333"/>
      <c r="AP34" s="333"/>
      <c r="AQ34" s="287"/>
      <c r="AR34" s="375"/>
      <c r="AS34" s="375"/>
      <c r="AT34" s="375"/>
      <c r="AU34" s="375"/>
      <c r="AV34" s="375"/>
      <c r="AW34" s="425">
        <v>0</v>
      </c>
    </row>
    <row s="1857" customFormat="1" customHeight="1" ht="18.75" hidden="1">
      <c r="A35" s="1255"/>
      <c r="B35" s="1255"/>
      <c r="C35" s="1255"/>
      <c r="D35" s="1255"/>
      <c r="E35" s="1255"/>
      <c r="F35" s="1255"/>
      <c r="G35" s="1255"/>
      <c r="H35" s="1255"/>
      <c r="I35" s="1255"/>
      <c r="J35" s="1255"/>
      <c r="K35" s="1255"/>
      <c r="L35" s="1255"/>
      <c r="M35" s="1387"/>
      <c r="N35" s="1255"/>
      <c r="O35" s="1255"/>
      <c r="P35" s="1255"/>
      <c r="U35" s="2270" t="s">
        <v>423</v>
      </c>
      <c r="V35" s="2270"/>
      <c r="W35" s="1379"/>
      <c r="X35" s="2271" t="str">
        <f>IF(TITLE_NUMBER_PR_CHANGE="",IF(TITLE_NUMBER_PR="","",TITLE_NUMBER_PR),TITLE_NUMBER_PR_CHANGE)</f>
        <v/>
      </c>
      <c r="Y35" s="2271"/>
      <c r="Z35" s="2271"/>
      <c r="AA35" s="2271"/>
      <c r="AB35" s="2271"/>
      <c r="AC35" s="2271"/>
      <c r="AD35" s="2271"/>
      <c r="AE35" s="2271"/>
      <c r="AF35" s="333"/>
      <c r="AG35" s="2271" t="str">
        <f>IF(TITLE_NUMBER_PR_CHANGE="",IF(TITLE_NUMBER_PR="","",TITLE_NUMBER_PR),TITLE_NUMBER_PR_CHANGE)</f>
        <v/>
      </c>
      <c r="AH35" s="2271"/>
      <c r="AI35" s="2271"/>
      <c r="AJ35" s="2271"/>
      <c r="AK35" s="2271"/>
      <c r="AL35" s="2271"/>
      <c r="AM35" s="2271"/>
      <c r="AN35" s="2271"/>
      <c r="AO35" s="333"/>
      <c r="AP35" s="333"/>
      <c r="AQ35" s="287"/>
      <c r="AR35" s="375"/>
      <c r="AS35" s="375"/>
      <c r="AT35" s="375"/>
      <c r="AU35" s="375"/>
      <c r="AV35" s="375"/>
      <c r="AW35" s="425">
        <v>0</v>
      </c>
    </row>
    <row s="1857" customFormat="1" customHeight="1" ht="18.75" hidden="1">
      <c r="A36" s="1255"/>
      <c r="B36" s="1255"/>
      <c r="C36" s="1255"/>
      <c r="D36" s="1255"/>
      <c r="E36" s="1255"/>
      <c r="F36" s="1255"/>
      <c r="G36" s="1255"/>
      <c r="H36" s="1255"/>
      <c r="I36" s="1255"/>
      <c r="J36" s="1255"/>
      <c r="K36" s="1255"/>
      <c r="L36" s="1255"/>
      <c r="M36" s="1387"/>
      <c r="N36" s="1255"/>
      <c r="O36" s="1255"/>
      <c r="P36" s="1255"/>
      <c r="U36" s="2270" t="s">
        <v>42</v>
      </c>
      <c r="V36" s="2270"/>
      <c r="W36" s="1379"/>
      <c r="X36" s="2271" t="str">
        <f>IF(TITLE_IST_PUB_CHANGE="",IF(TITLE_IST_PUB="","",TITLE_IST_PUB),TITLE_IST_PUB_CHANGE)</f>
        <v/>
      </c>
      <c r="Y36" s="2271"/>
      <c r="Z36" s="2271"/>
      <c r="AA36" s="2271"/>
      <c r="AB36" s="2271"/>
      <c r="AC36" s="2271"/>
      <c r="AD36" s="2271"/>
      <c r="AE36" s="2271"/>
      <c r="AF36" s="333"/>
      <c r="AG36" s="2271" t="str">
        <f>IF(TITLE_IST_PUB_CHANGE="",IF(TITLE_IST_PUB="","",TITLE_IST_PUB),TITLE_IST_PUB_CHANGE)</f>
        <v/>
      </c>
      <c r="AH36" s="2271"/>
      <c r="AI36" s="2271"/>
      <c r="AJ36" s="2271"/>
      <c r="AK36" s="2271"/>
      <c r="AL36" s="2271"/>
      <c r="AM36" s="2271"/>
      <c r="AN36" s="2271"/>
      <c r="AO36" s="333"/>
      <c r="AP36" s="333"/>
      <c r="AQ36" s="287"/>
      <c r="AR36" s="375"/>
      <c r="AS36" s="375"/>
      <c r="AT36" s="375"/>
      <c r="AU36" s="375"/>
      <c r="AV36" s="375"/>
      <c r="AW36" s="425">
        <v>0</v>
      </c>
    </row>
    <row customHeight="1" ht="14.25" hidden="1">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57" customFormat="1" customHeight="1" ht="18.75" hidden="1">
      <c r="A38" s="1255"/>
      <c r="B38" s="1255"/>
      <c r="C38" s="1255"/>
      <c r="D38" s="1255"/>
      <c r="E38" s="1255"/>
      <c r="F38" s="1255"/>
      <c r="G38" s="1255"/>
      <c r="H38" s="1255"/>
      <c r="I38" s="1255"/>
      <c r="J38" s="1255"/>
      <c r="K38" s="1255"/>
      <c r="L38" s="1255"/>
      <c r="M38" s="1387"/>
      <c r="N38" s="1255"/>
      <c r="O38" s="1255"/>
      <c r="P38" s="1255"/>
      <c r="U38" s="2270" t="s">
        <v>424</v>
      </c>
      <c r="V38" s="2270"/>
      <c r="W38" s="1379"/>
      <c r="X38" s="2284" t="str">
        <f>IF(TITLE_DATE_PR_CHANGE="",IF(TITLE_DATE_PR="","",TITLE_DATE_PR),TITLE_DATE_PR_CHANGE)</f>
        <v/>
      </c>
      <c r="Y38" s="2284"/>
      <c r="Z38" s="2284"/>
      <c r="AA38" s="2284"/>
      <c r="AB38" s="2284"/>
      <c r="AC38" s="2284"/>
      <c r="AD38" s="2284"/>
      <c r="AE38" s="2284"/>
      <c r="AF38" s="333"/>
      <c r="AG38" s="2284" t="str">
        <f>IF(TITLE_DATE_PR_CHANGE="",IF(TITLE_DATE_PR="","",TITLE_DATE_PR),TITLE_DATE_PR_CHANGE)</f>
        <v/>
      </c>
      <c r="AH38" s="2284"/>
      <c r="AI38" s="2284"/>
      <c r="AJ38" s="2284"/>
      <c r="AK38" s="2284"/>
      <c r="AL38" s="2284"/>
      <c r="AM38" s="2284"/>
      <c r="AN38" s="2284"/>
      <c r="AO38" s="333"/>
      <c r="AP38" s="333"/>
      <c r="AQ38" s="287"/>
      <c r="AR38" s="375"/>
      <c r="AS38" s="375"/>
      <c r="AT38" s="375"/>
      <c r="AU38" s="375"/>
      <c r="AV38" s="375"/>
      <c r="AW38" s="425">
        <v>0</v>
      </c>
    </row>
    <row s="1857" customFormat="1" customHeight="1" ht="18.75" hidden="1">
      <c r="A39" s="1255"/>
      <c r="B39" s="1255"/>
      <c r="C39" s="1255"/>
      <c r="D39" s="1255"/>
      <c r="E39" s="1255"/>
      <c r="F39" s="1255"/>
      <c r="G39" s="1255"/>
      <c r="H39" s="1255"/>
      <c r="I39" s="1255"/>
      <c r="J39" s="1255"/>
      <c r="K39" s="1255"/>
      <c r="L39" s="1255"/>
      <c r="M39" s="1387"/>
      <c r="N39" s="1255"/>
      <c r="O39" s="1255"/>
      <c r="P39" s="1255"/>
      <c r="U39" s="2270" t="s">
        <v>425</v>
      </c>
      <c r="V39" s="2270"/>
      <c r="W39" s="1379"/>
      <c r="X39" s="2271" t="str">
        <f>IF(TITLE_NUMBER_PR_CHANGE="",IF(TITLE_NUMBER_PR="","",TITLE_NUMBER_PR),TITLE_NUMBER_PR_CHANGE)</f>
        <v/>
      </c>
      <c r="Y39" s="2271"/>
      <c r="Z39" s="2271"/>
      <c r="AA39" s="2271"/>
      <c r="AB39" s="2271"/>
      <c r="AC39" s="2271"/>
      <c r="AD39" s="2271"/>
      <c r="AE39" s="2271"/>
      <c r="AF39" s="333"/>
      <c r="AG39" s="2271" t="str">
        <f>IF(TITLE_NUMBER_PR_CHANGE="",IF(TITLE_NUMBER_PR="","",TITLE_NUMBER_PR),TITLE_NUMBER_PR_CHANGE)</f>
        <v/>
      </c>
      <c r="AH39" s="2271"/>
      <c r="AI39" s="2271"/>
      <c r="AJ39" s="2271"/>
      <c r="AK39" s="2271"/>
      <c r="AL39" s="2271"/>
      <c r="AM39" s="2271"/>
      <c r="AN39" s="2271"/>
      <c r="AO39" s="333"/>
      <c r="AP39" s="333"/>
      <c r="AQ39" s="287"/>
      <c r="AR39" s="375"/>
      <c r="AS39" s="375"/>
      <c r="AT39" s="375"/>
      <c r="AU39" s="375"/>
      <c r="AV39" s="375"/>
      <c r="AW39" s="425">
        <v>0</v>
      </c>
    </row>
    <row s="1857"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426</v>
      </c>
      <c r="AG40" s="333"/>
      <c r="AH40" s="333"/>
      <c r="AI40" s="333"/>
      <c r="AJ40" s="333"/>
      <c r="AK40" s="333"/>
      <c r="AL40" s="333"/>
      <c r="AM40" s="333"/>
      <c r="AN40" s="333"/>
      <c r="AO40" s="285" t="s">
        <v>426</v>
      </c>
      <c r="AR40" s="375"/>
      <c r="AS40" s="375"/>
      <c r="AT40" s="375"/>
      <c r="AU40" s="375"/>
      <c r="AV40" s="375"/>
      <c r="AW40" s="425">
        <v>0</v>
      </c>
    </row>
    <row customHeight="1" ht="14.699999999999998">
      <c r="R41" s="383"/>
      <c r="S41" s="383"/>
      <c r="T41" s="383"/>
      <c r="U41" s="1282"/>
      <c r="V41" s="370"/>
      <c r="W41" s="1251"/>
      <c r="X41" s="2272"/>
      <c r="Y41" s="2272"/>
      <c r="Z41" s="2272"/>
      <c r="AA41" s="2272"/>
      <c r="AB41" s="2272"/>
      <c r="AC41" s="2272"/>
      <c r="AD41" s="2272"/>
      <c r="AE41" s="2272"/>
      <c r="AF41" s="2272"/>
      <c r="AG41" s="2272"/>
      <c r="AH41" s="2272"/>
      <c r="AI41" s="2272"/>
      <c r="AJ41" s="2272"/>
      <c r="AK41" s="2272"/>
      <c r="AL41" s="2272"/>
      <c r="AM41" s="2272"/>
      <c r="AN41" s="2272"/>
      <c r="AO41" s="2272"/>
      <c r="AW41" s="1162">
        <v>14</v>
      </c>
    </row>
    <row customHeight="1" ht="14.699999999999998">
      <c r="R42" s="383"/>
      <c r="S42" s="383"/>
      <c r="T42" s="383"/>
      <c r="U42" s="2147" t="s">
        <v>299</v>
      </c>
      <c r="V42" s="2147"/>
      <c r="W42" s="2147"/>
      <c r="X42" s="2147"/>
      <c r="Y42" s="2147"/>
      <c r="Z42" s="2147"/>
      <c r="AA42" s="2147"/>
      <c r="AB42" s="2147"/>
      <c r="AC42" s="2147"/>
      <c r="AD42" s="2147"/>
      <c r="AE42" s="2147"/>
      <c r="AF42" s="2147"/>
      <c r="AG42" s="2147"/>
      <c r="AH42" s="2147"/>
      <c r="AI42" s="2147"/>
      <c r="AJ42" s="2147"/>
      <c r="AK42" s="2147"/>
      <c r="AL42" s="2147"/>
      <c r="AM42" s="2147"/>
      <c r="AN42" s="2147"/>
      <c r="AO42" s="2147"/>
      <c r="AP42" s="2147"/>
      <c r="AQ42" s="2147" t="s">
        <v>300</v>
      </c>
      <c r="AW42" s="1162">
        <v>14</v>
      </c>
    </row>
    <row customHeight="1" ht="14.699999999999998">
      <c r="R43" s="383"/>
      <c r="S43" s="383"/>
      <c r="T43" s="383"/>
      <c r="U43" s="2293" t="s">
        <v>87</v>
      </c>
      <c r="V43" s="2229" t="s">
        <v>427</v>
      </c>
      <c r="W43" s="308"/>
      <c r="X43" s="2294" t="s">
        <v>428</v>
      </c>
      <c r="Y43" s="2311"/>
      <c r="Z43" s="2311"/>
      <c r="AA43" s="2311"/>
      <c r="AB43" s="2311"/>
      <c r="AC43" s="2295"/>
      <c r="AD43" s="2295"/>
      <c r="AE43" s="2296"/>
      <c r="AF43" s="2297" t="s">
        <v>429</v>
      </c>
      <c r="AG43" s="2294" t="s">
        <v>428</v>
      </c>
      <c r="AH43" s="2311"/>
      <c r="AI43" s="2311"/>
      <c r="AJ43" s="2311"/>
      <c r="AK43" s="2311"/>
      <c r="AL43" s="2295"/>
      <c r="AM43" s="2295"/>
      <c r="AN43" s="2296"/>
      <c r="AO43" s="2297" t="s">
        <v>430</v>
      </c>
      <c r="AP43" s="2300" t="s">
        <v>431</v>
      </c>
      <c r="AQ43" s="2147"/>
      <c r="AW43" s="1162">
        <v>14</v>
      </c>
    </row>
    <row customHeight="1" ht="35.699999999999996">
      <c r="R44" s="383"/>
      <c r="S44" s="383"/>
      <c r="T44" s="383"/>
      <c r="U44" s="2293"/>
      <c r="V44" s="2229"/>
      <c r="W44" s="1038"/>
      <c r="X44" s="2314" t="s">
        <v>454</v>
      </c>
      <c r="Y44" s="2332" t="s">
        <v>455</v>
      </c>
      <c r="Z44" s="2332"/>
      <c r="AA44" s="2332"/>
      <c r="AB44" s="2332"/>
      <c r="AC44" s="2314" t="s">
        <v>435</v>
      </c>
      <c r="AD44" s="2632"/>
      <c r="AE44" s="2334"/>
      <c r="AF44" s="2298"/>
      <c r="AG44" s="2314" t="s">
        <v>454</v>
      </c>
      <c r="AH44" s="2332" t="s">
        <v>455</v>
      </c>
      <c r="AI44" s="2332"/>
      <c r="AJ44" s="2332"/>
      <c r="AK44" s="2332"/>
      <c r="AL44" s="2314" t="s">
        <v>435</v>
      </c>
      <c r="AM44" s="2632"/>
      <c r="AN44" s="2334"/>
      <c r="AO44" s="2298"/>
      <c r="AP44" s="2301"/>
      <c r="AQ44" s="2147"/>
      <c r="AW44" s="1162">
        <v>34</v>
      </c>
    </row>
    <row customHeight="1" ht="14.699999999999998">
      <c r="R45" s="383"/>
      <c r="S45" s="383"/>
      <c r="T45" s="383"/>
      <c r="U45" s="2293"/>
      <c r="V45" s="2229"/>
      <c r="W45" s="1038"/>
      <c r="X45" s="2345"/>
      <c r="Y45" s="2337" t="s">
        <v>456</v>
      </c>
      <c r="Z45" s="2290" t="s">
        <v>457</v>
      </c>
      <c r="AA45" s="2340"/>
      <c r="AB45" s="2291"/>
      <c r="AC45" s="2315"/>
      <c r="AD45" s="2633"/>
      <c r="AE45" s="2336"/>
      <c r="AF45" s="2298"/>
      <c r="AG45" s="2345"/>
      <c r="AH45" s="2337" t="s">
        <v>456</v>
      </c>
      <c r="AI45" s="2290" t="s">
        <v>457</v>
      </c>
      <c r="AJ45" s="2340"/>
      <c r="AK45" s="2291"/>
      <c r="AL45" s="2315"/>
      <c r="AM45" s="2633"/>
      <c r="AN45" s="2336"/>
      <c r="AO45" s="2298"/>
      <c r="AP45" s="2301"/>
      <c r="AQ45" s="2147"/>
      <c r="AW45" s="1162">
        <v>14</v>
      </c>
    </row>
    <row customHeight="1" ht="27.299999999999997">
      <c r="R46" s="383"/>
      <c r="S46" s="383"/>
      <c r="T46" s="383"/>
      <c r="U46" s="2293"/>
      <c r="V46" s="2229"/>
      <c r="W46" s="1038"/>
      <c r="X46" s="2345"/>
      <c r="Y46" s="2338"/>
      <c r="Z46" s="2337" t="s">
        <v>458</v>
      </c>
      <c r="AA46" s="2290" t="s">
        <v>459</v>
      </c>
      <c r="AB46" s="2291"/>
      <c r="AC46" s="2337" t="s">
        <v>445</v>
      </c>
      <c r="AD46" s="2341" t="s">
        <v>446</v>
      </c>
      <c r="AE46" s="2342"/>
      <c r="AF46" s="2298"/>
      <c r="AG46" s="2345"/>
      <c r="AH46" s="2338"/>
      <c r="AI46" s="2337" t="s">
        <v>458</v>
      </c>
      <c r="AJ46" s="2290" t="s">
        <v>459</v>
      </c>
      <c r="AK46" s="2291"/>
      <c r="AL46" s="2337" t="s">
        <v>445</v>
      </c>
      <c r="AM46" s="2341" t="s">
        <v>446</v>
      </c>
      <c r="AN46" s="2342"/>
      <c r="AO46" s="2298"/>
      <c r="AP46" s="2301"/>
      <c r="AQ46" s="2147"/>
      <c r="AW46" s="1162">
        <v>26</v>
      </c>
    </row>
    <row customHeight="1" ht="65.25">
      <c r="A47" s="1266"/>
      <c r="B47" s="1266" t="s">
        <v>136</v>
      </c>
      <c r="C47" s="1266" t="s">
        <v>137</v>
      </c>
      <c r="D47" s="1266" t="s">
        <v>138</v>
      </c>
      <c r="E47" s="1317" t="s">
        <v>436</v>
      </c>
      <c r="F47" s="1317" t="s">
        <v>437</v>
      </c>
      <c r="G47" s="1317" t="s">
        <v>438</v>
      </c>
      <c r="H47" s="1317" t="s">
        <v>439</v>
      </c>
      <c r="I47" s="1317" t="s">
        <v>440</v>
      </c>
      <c r="J47" s="1317" t="s">
        <v>441</v>
      </c>
      <c r="K47" s="1317" t="s">
        <v>442</v>
      </c>
      <c r="L47" s="1317" t="s">
        <v>460</v>
      </c>
      <c r="M47" s="1317" t="s">
        <v>417</v>
      </c>
      <c r="R47" s="383"/>
      <c r="S47" s="383"/>
      <c r="T47" s="383"/>
      <c r="U47" s="2293"/>
      <c r="V47" s="2229"/>
      <c r="W47" s="309"/>
      <c r="X47" s="2315"/>
      <c r="Y47" s="2339"/>
      <c r="Z47" s="2339"/>
      <c r="AA47" s="1229" t="s">
        <v>461</v>
      </c>
      <c r="AB47" s="1229" t="s">
        <v>462</v>
      </c>
      <c r="AC47" s="2339"/>
      <c r="AD47" s="2343"/>
      <c r="AE47" s="2344"/>
      <c r="AF47" s="2299"/>
      <c r="AG47" s="2315"/>
      <c r="AH47" s="2339"/>
      <c r="AI47" s="2339"/>
      <c r="AJ47" s="1229" t="s">
        <v>461</v>
      </c>
      <c r="AK47" s="1229" t="s">
        <v>462</v>
      </c>
      <c r="AL47" s="2339"/>
      <c r="AM47" s="2343"/>
      <c r="AN47" s="2344"/>
      <c r="AO47" s="2299"/>
      <c r="AP47" s="2302"/>
      <c r="AQ47" s="2147"/>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109</v>
      </c>
      <c r="V48" s="1262" t="s">
        <v>110</v>
      </c>
      <c r="W48" s="1252" t="str">
        <f>OFFSET(W48,0,-1)</f>
        <v>2</v>
      </c>
      <c r="X48" s="1342">
        <f>OFFSET(X48,0,-1)+1</f>
        <v>3</v>
      </c>
      <c r="Y48" s="1348"/>
      <c r="Z48" s="1348"/>
      <c r="AA48" s="1348">
        <f>OFFSET(AA48,0,-1)+1</f>
        <v>1</v>
      </c>
      <c r="AB48" s="1348">
        <f>OFFSET(AB48,0,-1)+1</f>
        <v>2</v>
      </c>
      <c r="AC48" s="1342">
        <f>OFFSET(AC48,0,-1)+1</f>
        <v>3</v>
      </c>
      <c r="AD48" s="2292">
        <f>OFFSET(AD48,0,-1)+1</f>
        <v>4</v>
      </c>
      <c r="AE48" s="2292"/>
      <c r="AF48" s="1342">
        <f>OFFSET(AF48,0,-2)+1</f>
        <v>5</v>
      </c>
      <c r="AG48" s="1342">
        <f>OFFSET(AG48,0,-1)+1</f>
        <v>6</v>
      </c>
      <c r="AH48" s="1342"/>
      <c r="AI48" s="1342"/>
      <c r="AJ48" s="1342">
        <f>OFFSET(AJ48,0,-1)+1</f>
        <v>1</v>
      </c>
      <c r="AK48" s="1342">
        <f>OFFSET(AK48,0,-1)+1</f>
        <v>2</v>
      </c>
      <c r="AL48" s="1342">
        <f>OFFSET(AL48,0,-1)+1</f>
        <v>3</v>
      </c>
      <c r="AM48" s="2292">
        <f>OFFSET(AM48,0,-1)+1</f>
        <v>4</v>
      </c>
      <c r="AN48" s="2292"/>
      <c r="AO48" s="1342">
        <f>OFFSET(AO48,0,-2)+1</f>
        <v>5</v>
      </c>
      <c r="AP48" s="1252">
        <f>OFFSET(AP48,0,-1)</f>
        <v>5</v>
      </c>
      <c r="AQ48" s="1342">
        <f>OFFSET(AQ48,0,-1)+1</f>
        <v>6</v>
      </c>
      <c r="AR48" s="518"/>
      <c r="AS48" s="518"/>
      <c r="AT48" s="518"/>
      <c r="AU48" s="518"/>
      <c r="AV48" s="518"/>
      <c r="AW48" s="503">
        <v>0</v>
      </c>
    </row>
    <row customHeight="1" ht="22.049999999999997">
      <c r="A49" s="1274" t="s">
        <v>175</v>
      </c>
      <c r="B49" s="1274"/>
      <c r="C49" s="1274"/>
      <c r="D49" s="1274"/>
      <c r="E49" s="2309">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124</v>
      </c>
      <c r="W49" s="307"/>
      <c r="X49" s="2262"/>
      <c r="Y49" s="2263"/>
      <c r="Z49" s="2263"/>
      <c r="AA49" s="2263"/>
      <c r="AB49" s="2263"/>
      <c r="AC49" s="2263"/>
      <c r="AD49" s="2263"/>
      <c r="AE49" s="2263"/>
      <c r="AF49" s="2264"/>
      <c r="AG49" s="2262" t="str">
        <f>INDEX(PT_DIFFERENTIATION_NTAR,MATCH(A49,PT_DIFFERENTIATION_NTAR_ID,0))</f>
        <v/>
      </c>
      <c r="AH49" s="2263"/>
      <c r="AI49" s="2263"/>
      <c r="AJ49" s="2263"/>
      <c r="AK49" s="2263"/>
      <c r="AL49" s="2263"/>
      <c r="AM49" s="2263"/>
      <c r="AN49" s="2263"/>
      <c r="AO49" s="2263"/>
      <c r="AP49" s="2264"/>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175</v>
      </c>
      <c r="B50" s="1274" t="s">
        <v>176</v>
      </c>
      <c r="C50" s="1274"/>
      <c r="D50" s="1274"/>
      <c r="E50" s="2310"/>
      <c r="F50" s="2309">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396</v>
      </c>
      <c r="W50" s="307"/>
      <c r="X50" s="2262"/>
      <c r="Y50" s="2263"/>
      <c r="Z50" s="2263"/>
      <c r="AA50" s="2263"/>
      <c r="AB50" s="2263"/>
      <c r="AC50" s="2263"/>
      <c r="AD50" s="2263"/>
      <c r="AE50" s="2263"/>
      <c r="AF50" s="2264"/>
      <c r="AG50" s="2262" t="str">
        <f>INDEX(PT_DIFFERENTIATION_TER,MATCH(B50,PT_DIFFERENTIATION_TER_ID,0))</f>
        <v/>
      </c>
      <c r="AH50" s="2263"/>
      <c r="AI50" s="2263"/>
      <c r="AJ50" s="2263"/>
      <c r="AK50" s="2263"/>
      <c r="AL50" s="2263"/>
      <c r="AM50" s="2263"/>
      <c r="AN50" s="2263"/>
      <c r="AO50" s="2263"/>
      <c r="AP50" s="2264"/>
      <c r="AQ50" s="1265" t="s">
        <v>397</v>
      </c>
      <c r="AS50" s="507"/>
      <c r="AT50" s="507" t="str">
        <f>IF(V50="","",V50)</f>
        <v>Территория действия тарифа</v>
      </c>
      <c r="AU50" s="507"/>
      <c r="AV50" s="507"/>
      <c r="AW50" s="1162">
        <v>21</v>
      </c>
    </row>
    <row customHeight="1" ht="24">
      <c r="A51" s="1274" t="s">
        <v>175</v>
      </c>
      <c r="B51" s="1274" t="s">
        <v>176</v>
      </c>
      <c r="C51" s="1274" t="s">
        <v>177</v>
      </c>
      <c r="D51" s="1274"/>
      <c r="E51" s="2310"/>
      <c r="F51" s="2310"/>
      <c r="G51" s="2309">
        <v>1</v>
      </c>
      <c r="H51" s="1274"/>
      <c r="I51" s="1274"/>
      <c r="J51" s="1274"/>
      <c r="K51" s="1274"/>
      <c r="L51" s="1274"/>
      <c r="M51" s="1317"/>
      <c r="N51" s="695"/>
      <c r="O51" s="695"/>
      <c r="P51" s="695"/>
      <c r="Q51" s="361"/>
      <c r="R51" s="359"/>
      <c r="S51" s="516"/>
      <c r="T51" s="360"/>
      <c r="U51" s="1343" t="str">
        <f>INDEX(PT_DIFFERENTIATION_NUM_CS,MATCH(C51,PT_DIFFERENTIATION_CS_ID,0))</f>
        <v>..</v>
      </c>
      <c r="V51" s="316" t="s">
        <v>398</v>
      </c>
      <c r="W51" s="307"/>
      <c r="X51" s="2262"/>
      <c r="Y51" s="2263"/>
      <c r="Z51" s="2263"/>
      <c r="AA51" s="2263"/>
      <c r="AB51" s="2263"/>
      <c r="AC51" s="2263"/>
      <c r="AD51" s="2263"/>
      <c r="AE51" s="2263"/>
      <c r="AF51" s="2264"/>
      <c r="AG51" s="2262" t="str">
        <f>INDEX(PT_DIFFERENTIATION_CS,MATCH(C51,PT_DIFFERENTIATION_CS_ID,0))</f>
        <v/>
      </c>
      <c r="AH51" s="2263"/>
      <c r="AI51" s="2263"/>
      <c r="AJ51" s="2263"/>
      <c r="AK51" s="2263"/>
      <c r="AL51" s="2263"/>
      <c r="AM51" s="2263"/>
      <c r="AN51" s="2263"/>
      <c r="AO51" s="2263"/>
      <c r="AP51" s="2264"/>
      <c r="AQ51" s="1265" t="s">
        <v>399</v>
      </c>
      <c r="AS51" s="507"/>
      <c r="AT51" s="507" t="str">
        <f>IF(V51="","",V51)</f>
        <v>Наименование системы теплоснабжения </v>
      </c>
      <c r="AU51" s="507"/>
      <c r="AV51" s="507"/>
      <c r="AW51" s="1162">
        <v>23</v>
      </c>
    </row>
    <row customHeight="1" ht="22.049999999999997">
      <c r="A52" s="1274" t="s">
        <v>175</v>
      </c>
      <c r="B52" s="1274" t="s">
        <v>176</v>
      </c>
      <c r="C52" s="1274" t="s">
        <v>177</v>
      </c>
      <c r="D52" s="1274" t="s">
        <v>178</v>
      </c>
      <c r="E52" s="2310"/>
      <c r="F52" s="2310"/>
      <c r="G52" s="2310"/>
      <c r="H52" s="2330">
        <v>1</v>
      </c>
      <c r="I52" s="1274"/>
      <c r="J52" s="1274"/>
      <c r="K52" s="1274"/>
      <c r="L52" s="1274"/>
      <c r="M52" s="1317"/>
      <c r="N52" s="695"/>
      <c r="O52" s="695"/>
      <c r="P52" s="695"/>
      <c r="Q52" s="361"/>
      <c r="R52" s="359"/>
      <c r="S52" s="516"/>
      <c r="T52" s="360"/>
      <c r="U52" s="1343" t="str">
        <f>INDEX(PT_DIFFERENTIATION_NUM_IST_TE,MATCH(D52,PT_DIFFERENTIATION_IST_TE_ID,0))</f>
        <v>...</v>
      </c>
      <c r="V52" s="317" t="s">
        <v>400</v>
      </c>
      <c r="W52" s="307"/>
      <c r="X52" s="2262"/>
      <c r="Y52" s="2263"/>
      <c r="Z52" s="2263"/>
      <c r="AA52" s="2263"/>
      <c r="AB52" s="2263"/>
      <c r="AC52" s="2263"/>
      <c r="AD52" s="2263"/>
      <c r="AE52" s="2263"/>
      <c r="AF52" s="2264"/>
      <c r="AG52" s="2262" t="str">
        <f>INDEX(PT_DIFFERENTIATION_IST_TE,MATCH(D52,PT_DIFFERENTIATION_IST_TE_ID,0))</f>
        <v/>
      </c>
      <c r="AH52" s="2263"/>
      <c r="AI52" s="2263"/>
      <c r="AJ52" s="2263"/>
      <c r="AK52" s="2263"/>
      <c r="AL52" s="2263"/>
      <c r="AM52" s="2263"/>
      <c r="AN52" s="2263"/>
      <c r="AO52" s="2263"/>
      <c r="AP52" s="2264"/>
      <c r="AQ52" s="1265" t="s">
        <v>401</v>
      </c>
      <c r="AS52" s="507"/>
      <c r="AT52" s="507" t="str">
        <f>IF(V52="","",V52)</f>
        <v>Источник тепловой энергии  </v>
      </c>
      <c r="AU52" s="507"/>
      <c r="AV52" s="507"/>
      <c r="AW52" s="1162">
        <v>21</v>
      </c>
    </row>
    <row s="1649" customFormat="1" customHeight="1" ht="0">
      <c r="A53" s="1382" t="s">
        <v>175</v>
      </c>
      <c r="B53" s="1382" t="s">
        <v>176</v>
      </c>
      <c r="C53" s="1382" t="s">
        <v>177</v>
      </c>
      <c r="D53" s="1382" t="s">
        <v>178</v>
      </c>
      <c r="E53" s="2310"/>
      <c r="F53" s="2310"/>
      <c r="G53" s="2310"/>
      <c r="H53" s="2331"/>
      <c r="I53" s="2147" t="str">
        <f>U52&amp;".1"</f>
        <v>....1</v>
      </c>
      <c r="J53" s="1382"/>
      <c r="K53" s="1382"/>
      <c r="L53" s="1382"/>
      <c r="M53" s="1388" t="s">
        <v>402</v>
      </c>
      <c r="N53" s="1253"/>
      <c r="O53" s="1253"/>
      <c r="P53" s="1253"/>
      <c r="Q53" s="2277">
        <v>1</v>
      </c>
      <c r="R53" s="1338"/>
      <c r="S53" s="1338"/>
      <c r="T53" s="363"/>
      <c r="U53" s="1049"/>
      <c r="V53" s="1390"/>
      <c r="W53" s="1391"/>
      <c r="X53" s="2316"/>
      <c r="Y53" s="2317"/>
      <c r="Z53" s="2317"/>
      <c r="AA53" s="2317"/>
      <c r="AB53" s="2317"/>
      <c r="AC53" s="2317"/>
      <c r="AD53" s="2317"/>
      <c r="AE53" s="2317"/>
      <c r="AF53" s="2318"/>
      <c r="AG53" s="2316"/>
      <c r="AH53" s="2317"/>
      <c r="AI53" s="2317"/>
      <c r="AJ53" s="2317"/>
      <c r="AK53" s="2317"/>
      <c r="AL53" s="2317"/>
      <c r="AM53" s="2317"/>
      <c r="AN53" s="2317"/>
      <c r="AO53" s="2317"/>
      <c r="AP53" s="2318"/>
      <c r="AQ53" s="1392"/>
      <c r="AS53" s="507"/>
      <c r="AT53" s="507" t="str">
        <f>IF(V53="","",V53)</f>
        <v/>
      </c>
      <c r="AU53" s="507"/>
      <c r="AV53" s="507"/>
      <c r="AW53" s="518">
        <v>0</v>
      </c>
    </row>
    <row customHeight="1" ht="22.049999999999997">
      <c r="A54" s="1274" t="s">
        <v>175</v>
      </c>
      <c r="B54" s="1274" t="s">
        <v>176</v>
      </c>
      <c r="C54" s="1274" t="s">
        <v>177</v>
      </c>
      <c r="D54" s="1274" t="s">
        <v>178</v>
      </c>
      <c r="E54" s="2310"/>
      <c r="F54" s="2310"/>
      <c r="G54" s="2310"/>
      <c r="H54" s="2331"/>
      <c r="I54" s="2121"/>
      <c r="J54" s="2147" t="str">
        <f>I53&amp;".1"</f>
        <v>....1.1</v>
      </c>
      <c r="K54" s="1274"/>
      <c r="L54" s="1274"/>
      <c r="M54" s="1317" t="s">
        <v>405</v>
      </c>
      <c r="Q54" s="2277"/>
      <c r="R54" s="2277">
        <v>1</v>
      </c>
      <c r="S54" s="525"/>
      <c r="T54" s="364"/>
      <c r="U54" s="1343" t="str">
        <f>$J54</f>
        <v>....1.1</v>
      </c>
      <c r="V54" s="293" t="s">
        <v>406</v>
      </c>
      <c r="W54" s="307"/>
      <c r="X54" s="2265"/>
      <c r="Y54" s="2266"/>
      <c r="Z54" s="2266"/>
      <c r="AA54" s="2266"/>
      <c r="AB54" s="2266"/>
      <c r="AC54" s="2255"/>
      <c r="AD54" s="2255"/>
      <c r="AE54" s="2255"/>
      <c r="AF54" s="2328"/>
      <c r="AG54" s="2265"/>
      <c r="AH54" s="2266"/>
      <c r="AI54" s="2266"/>
      <c r="AJ54" s="2266"/>
      <c r="AK54" s="2266"/>
      <c r="AL54" s="2266"/>
      <c r="AM54" s="2266"/>
      <c r="AN54" s="2266"/>
      <c r="AO54" s="2266"/>
      <c r="AP54" s="2267"/>
      <c r="AQ54" s="1265" t="s">
        <v>407</v>
      </c>
      <c r="AS54" s="507"/>
      <c r="AT54" s="507" t="str">
        <f>IF(V54="","",V54)</f>
        <v>Группа потребителей</v>
      </c>
      <c r="AU54" s="507"/>
      <c r="AV54" s="507"/>
      <c r="AW54" s="1162">
        <v>21</v>
      </c>
    </row>
    <row customHeight="1" ht="22.049999999999997">
      <c r="A55" s="1274" t="s">
        <v>175</v>
      </c>
      <c r="B55" s="1274" t="s">
        <v>176</v>
      </c>
      <c r="C55" s="1274" t="s">
        <v>177</v>
      </c>
      <c r="D55" s="1274" t="s">
        <v>178</v>
      </c>
      <c r="E55" s="2310"/>
      <c r="F55" s="2310"/>
      <c r="G55" s="2310"/>
      <c r="H55" s="2331"/>
      <c r="I55" s="2121"/>
      <c r="J55" s="2121"/>
      <c r="K55" s="2147" t="str">
        <f>J54&amp;".1"</f>
        <v>....1.1.1</v>
      </c>
      <c r="L55" s="146"/>
      <c r="M55" s="1317" t="s">
        <v>408</v>
      </c>
      <c r="Q55" s="2277"/>
      <c r="R55" s="2277"/>
      <c r="S55" s="525">
        <v>1</v>
      </c>
      <c r="T55" s="364"/>
      <c r="U55" s="1343" t="str">
        <f>$K55</f>
        <v>....1.1.1</v>
      </c>
      <c r="V55" s="1354"/>
      <c r="W55" s="307"/>
      <c r="X55" s="758"/>
      <c r="Y55" s="758"/>
      <c r="Z55" s="758"/>
      <c r="AA55" s="758"/>
      <c r="AB55" s="1412"/>
      <c r="AC55" s="2285"/>
      <c r="AD55" s="2127" t="s">
        <v>61</v>
      </c>
      <c r="AE55" s="2285"/>
      <c r="AF55" s="2127" t="s">
        <v>61</v>
      </c>
      <c r="AG55" s="1414"/>
      <c r="AH55" s="758"/>
      <c r="AI55" s="758"/>
      <c r="AJ55" s="758"/>
      <c r="AK55" s="1264"/>
      <c r="AL55" s="2285"/>
      <c r="AM55" s="2127" t="s">
        <v>61</v>
      </c>
      <c r="AN55" s="2285"/>
      <c r="AO55" s="2127" t="s">
        <v>61</v>
      </c>
      <c r="AP55" s="1355"/>
      <c r="AQ55" s="1314" t="s">
        <v>451</v>
      </c>
      <c r="AR55" s="518">
        <f>STRCHECKDATE(X57:AP57)</f>
      </c>
      <c r="AS55" s="507"/>
      <c r="AT55" s="507" t="str">
        <f>IF(V55="","",V55)</f>
        <v/>
      </c>
      <c r="AU55" s="507"/>
      <c r="AV55" s="507"/>
      <c r="AW55" s="1162">
        <v>21</v>
      </c>
    </row>
    <row customHeight="1" ht="11.549999999999999">
      <c r="A56" s="1274" t="s">
        <v>175</v>
      </c>
      <c r="B56" s="1274" t="s">
        <v>176</v>
      </c>
      <c r="C56" s="1274" t="s">
        <v>177</v>
      </c>
      <c r="D56" s="1274" t="s">
        <v>178</v>
      </c>
      <c r="E56" s="2310"/>
      <c r="F56" s="2310"/>
      <c r="G56" s="2310"/>
      <c r="H56" s="2331"/>
      <c r="I56" s="2121"/>
      <c r="J56" s="2121"/>
      <c r="K56" s="2121"/>
      <c r="L56" s="2147" t="str">
        <f>K55&amp;".1"</f>
        <v>....1.1.1.1</v>
      </c>
      <c r="M56" s="1317"/>
      <c r="Q56" s="2277"/>
      <c r="R56" s="2277"/>
      <c r="S56" s="525">
        <v>1</v>
      </c>
      <c r="T56" s="364"/>
      <c r="U56" s="1343" t="str">
        <f>$L56</f>
        <v>....1.1.1.1</v>
      </c>
      <c r="V56" s="1398"/>
      <c r="W56" s="307"/>
      <c r="X56" s="332"/>
      <c r="Y56" s="758"/>
      <c r="Z56" s="758"/>
      <c r="AA56" s="758"/>
      <c r="AB56" s="1412"/>
      <c r="AC56" s="2329"/>
      <c r="AD56" s="2127"/>
      <c r="AE56" s="2329"/>
      <c r="AF56" s="2127"/>
      <c r="AG56" s="1414"/>
      <c r="AH56" s="758"/>
      <c r="AI56" s="758"/>
      <c r="AJ56" s="758"/>
      <c r="AK56" s="1264"/>
      <c r="AL56" s="2329"/>
      <c r="AM56" s="2127"/>
      <c r="AN56" s="2329"/>
      <c r="AO56" s="2127"/>
      <c r="AP56" s="1355"/>
      <c r="AQ56" s="2273" t="s">
        <v>452</v>
      </c>
      <c r="AR56" s="518">
        <f>STRCHECKDATE(X58:AP58)</f>
      </c>
      <c r="AS56" s="507"/>
      <c r="AT56" s="507" t="str">
        <f>IF(V56="","",V56)</f>
        <v/>
      </c>
      <c r="AU56" s="507"/>
      <c r="AV56" s="507"/>
      <c r="AW56" s="1162">
        <v>11</v>
      </c>
    </row>
    <row customHeight="1" ht="0">
      <c r="A57" s="1274" t="s">
        <v>175</v>
      </c>
      <c r="B57" s="1274" t="s">
        <v>176</v>
      </c>
      <c r="C57" s="1274" t="s">
        <v>177</v>
      </c>
      <c r="D57" s="1274" t="s">
        <v>178</v>
      </c>
      <c r="E57" s="2310"/>
      <c r="F57" s="2310"/>
      <c r="G57" s="2310"/>
      <c r="H57" s="2331"/>
      <c r="I57" s="2121"/>
      <c r="J57" s="2121"/>
      <c r="K57" s="2121"/>
      <c r="L57" s="2147"/>
      <c r="M57" s="1317"/>
      <c r="Q57" s="2277"/>
      <c r="R57" s="2277"/>
      <c r="S57" s="525"/>
      <c r="T57" s="364"/>
      <c r="U57" s="1349"/>
      <c r="V57" s="307"/>
      <c r="W57" s="307"/>
      <c r="X57" s="332"/>
      <c r="Y57" s="332"/>
      <c r="Z57" s="332"/>
      <c r="AA57" s="332"/>
      <c r="AB57" s="1413" t="str">
        <f>AC55&amp;"-"&amp;AE55</f>
        <v>-</v>
      </c>
      <c r="AC57" s="2329"/>
      <c r="AD57" s="2127"/>
      <c r="AE57" s="2329"/>
      <c r="AF57" s="2127"/>
      <c r="AG57" s="1389"/>
      <c r="AH57" s="332"/>
      <c r="AI57" s="332"/>
      <c r="AJ57" s="332"/>
      <c r="AK57" s="335" t="str">
        <f>AL55&amp;"-"&amp;AN55</f>
        <v>-</v>
      </c>
      <c r="AL57" s="2329"/>
      <c r="AM57" s="2127"/>
      <c r="AN57" s="2329"/>
      <c r="AO57" s="2127"/>
      <c r="AP57" s="1356"/>
      <c r="AQ57" s="2274"/>
      <c r="AS57" s="507"/>
      <c r="AT57" s="507" t="str">
        <f>IF(V57="","",V57)</f>
        <v/>
      </c>
      <c r="AU57" s="507"/>
      <c r="AV57" s="507"/>
      <c r="AW57" s="1162">
        <v>0</v>
      </c>
    </row>
    <row customHeight="1" ht="11.549999999999999">
      <c r="A58" s="1274" t="s">
        <v>175</v>
      </c>
      <c r="B58" s="1274" t="s">
        <v>176</v>
      </c>
      <c r="C58" s="1274" t="s">
        <v>177</v>
      </c>
      <c r="D58" s="1274" t="s">
        <v>178</v>
      </c>
      <c r="E58" s="2310"/>
      <c r="F58" s="2310"/>
      <c r="G58" s="2310"/>
      <c r="H58" s="2331"/>
      <c r="I58" s="2121"/>
      <c r="J58" s="2121"/>
      <c r="K58" s="2147"/>
      <c r="L58" s="1274"/>
      <c r="M58" s="1317"/>
      <c r="Q58" s="2277"/>
      <c r="R58" s="2277"/>
      <c r="S58" s="1338"/>
      <c r="T58" s="363"/>
      <c r="U58" s="1285"/>
      <c r="V58" s="295" t="s">
        <v>453</v>
      </c>
      <c r="W58" s="374"/>
      <c r="X58" s="374"/>
      <c r="Y58" s="374"/>
      <c r="Z58" s="374"/>
      <c r="AA58" s="374"/>
      <c r="AB58" s="374"/>
      <c r="AC58" s="2329"/>
      <c r="AD58" s="2127"/>
      <c r="AE58" s="2329"/>
      <c r="AF58" s="2127"/>
      <c r="AG58" s="374"/>
      <c r="AH58" s="374"/>
      <c r="AI58" s="374"/>
      <c r="AJ58" s="374"/>
      <c r="AK58" s="374"/>
      <c r="AL58" s="2329"/>
      <c r="AM58" s="2127"/>
      <c r="AN58" s="2329"/>
      <c r="AO58" s="2127"/>
      <c r="AP58" s="331"/>
      <c r="AQ58" s="2274"/>
      <c r="AS58" s="507"/>
      <c r="AT58" s="507" t="str">
        <f>IF(V58="","",V58)</f>
        <v>Добавить наименование поставщика</v>
      </c>
      <c r="AU58" s="507"/>
      <c r="AV58" s="507"/>
      <c r="AW58" s="1162">
        <v>11</v>
      </c>
    </row>
    <row customHeight="1" ht="11.549999999999999">
      <c r="A59" s="1274" t="s">
        <v>175</v>
      </c>
      <c r="B59" s="1274" t="s">
        <v>176</v>
      </c>
      <c r="C59" s="1274" t="s">
        <v>177</v>
      </c>
      <c r="D59" s="1274" t="s">
        <v>178</v>
      </c>
      <c r="E59" s="2310"/>
      <c r="F59" s="2310"/>
      <c r="G59" s="2310"/>
      <c r="H59" s="2331"/>
      <c r="I59" s="2121"/>
      <c r="J59" s="2147"/>
      <c r="K59" s="1274"/>
      <c r="L59" s="1274"/>
      <c r="M59" s="1317"/>
      <c r="Q59" s="2277"/>
      <c r="R59" s="2277"/>
      <c r="S59" s="1338"/>
      <c r="T59" s="363"/>
      <c r="U59" s="1285"/>
      <c r="V59" s="294" t="s">
        <v>410</v>
      </c>
      <c r="W59" s="374"/>
      <c r="X59" s="374"/>
      <c r="Y59" s="374"/>
      <c r="Z59" s="374"/>
      <c r="AA59" s="374"/>
      <c r="AB59" s="374"/>
      <c r="AC59" s="1415"/>
      <c r="AD59" s="1415"/>
      <c r="AE59" s="1415"/>
      <c r="AF59" s="1415"/>
      <c r="AG59" s="374"/>
      <c r="AH59" s="374"/>
      <c r="AI59" s="374"/>
      <c r="AJ59" s="374"/>
      <c r="AK59" s="374"/>
      <c r="AL59" s="374"/>
      <c r="AM59" s="374"/>
      <c r="AN59" s="374"/>
      <c r="AO59" s="374"/>
      <c r="AP59" s="331"/>
      <c r="AQ59" s="2275"/>
      <c r="AS59" s="507"/>
      <c r="AT59" s="507" t="str">
        <f>IF(V59="","",V59)</f>
        <v>Добавить вид теплоносителя (параметры теплоносителя)</v>
      </c>
      <c r="AU59" s="507"/>
      <c r="AV59" s="507"/>
      <c r="AW59" s="1162">
        <v>11</v>
      </c>
    </row>
    <row customHeight="1" ht="11.549999999999999">
      <c r="A60" s="1274" t="s">
        <v>175</v>
      </c>
      <c r="B60" s="1274" t="s">
        <v>176</v>
      </c>
      <c r="C60" s="1274" t="s">
        <v>177</v>
      </c>
      <c r="D60" s="1274" t="s">
        <v>178</v>
      </c>
      <c r="E60" s="2310"/>
      <c r="F60" s="2310"/>
      <c r="G60" s="2310"/>
      <c r="H60" s="2331"/>
      <c r="I60" s="2147"/>
      <c r="J60" s="1274"/>
      <c r="K60" s="1274"/>
      <c r="L60" s="1274"/>
      <c r="M60" s="1317"/>
      <c r="Q60" s="2277"/>
      <c r="R60" s="1338"/>
      <c r="S60" s="1338"/>
      <c r="T60" s="363"/>
      <c r="U60" s="1285"/>
      <c r="V60" s="372" t="s">
        <v>411</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175</v>
      </c>
      <c r="B61" s="1274" t="s">
        <v>176</v>
      </c>
      <c r="C61" s="1274" t="s">
        <v>177</v>
      </c>
      <c r="D61" s="1274" t="s">
        <v>178</v>
      </c>
      <c r="E61" s="2310"/>
      <c r="F61" s="2310"/>
      <c r="G61" s="2310"/>
      <c r="H61" s="2330"/>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175</v>
      </c>
      <c r="B62" s="1382" t="s">
        <v>176</v>
      </c>
      <c r="C62" s="1382" t="s">
        <v>177</v>
      </c>
      <c r="D62" s="1381"/>
      <c r="E62" s="2310"/>
      <c r="F62" s="2310"/>
      <c r="G62" s="2309"/>
      <c r="H62" s="1381"/>
      <c r="I62" s="1381"/>
      <c r="J62" s="1381"/>
      <c r="K62" s="1381"/>
      <c r="L62" s="1381"/>
      <c r="M62" s="1384"/>
      <c r="N62" s="1385"/>
      <c r="O62" s="1385"/>
      <c r="P62" s="358"/>
      <c r="Q62" s="1323"/>
      <c r="R62" s="1324"/>
      <c r="S62" s="1323"/>
      <c r="T62" s="1323"/>
      <c r="U62" s="1329"/>
      <c r="V62" s="1332" t="s">
        <v>413</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175</v>
      </c>
      <c r="B63" s="1382" t="s">
        <v>176</v>
      </c>
      <c r="C63" s="1381"/>
      <c r="D63" s="1381"/>
      <c r="E63" s="2310"/>
      <c r="F63" s="2309"/>
      <c r="G63" s="1381"/>
      <c r="H63" s="1381"/>
      <c r="I63" s="1381"/>
      <c r="J63" s="1381"/>
      <c r="K63" s="1381"/>
      <c r="L63" s="1381"/>
      <c r="M63" s="1384"/>
      <c r="N63" s="1386"/>
      <c r="O63" s="1386"/>
      <c r="P63" s="358"/>
      <c r="Q63" s="1323"/>
      <c r="R63" s="1324"/>
      <c r="S63" s="1323"/>
      <c r="T63" s="1323"/>
      <c r="U63" s="1329"/>
      <c r="V63" s="1332" t="s">
        <v>414</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175</v>
      </c>
      <c r="B64" s="1382"/>
      <c r="C64" s="1382"/>
      <c r="D64" s="1382"/>
      <c r="E64" s="2309"/>
      <c r="F64" s="1382"/>
      <c r="G64" s="1382"/>
      <c r="H64" s="1382"/>
      <c r="I64" s="1382"/>
      <c r="J64" s="1382"/>
      <c r="K64" s="1382"/>
      <c r="L64" s="1382"/>
      <c r="M64" s="1388"/>
      <c r="N64" s="1386"/>
      <c r="O64" s="1386"/>
      <c r="P64" s="358"/>
      <c r="Q64" s="387"/>
      <c r="R64" s="1351"/>
      <c r="S64" s="387"/>
      <c r="T64" s="387"/>
      <c r="U64" s="1329"/>
      <c r="V64" s="1332" t="s">
        <v>415</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447</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W67" s="1162">
        <v>34</v>
      </c>
    </row>
    <row customHeight="1" ht="21">
      <c r="P68" s="516"/>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W68" s="1162">
        <v>20</v>
      </c>
    </row>
    <row customHeight="1" ht="14.699999999999998">
      <c r="P69" s="516"/>
      <c r="AW69" s="1162">
        <v>14</v>
      </c>
    </row>
    <row customHeight="1" ht="28.5">
      <c r="P70" s="516"/>
      <c r="V70" s="2305"/>
      <c r="W70" s="2305"/>
      <c r="X70" s="2305"/>
      <c r="Y70" s="2305"/>
      <c r="Z70" s="2305"/>
      <c r="AA70" s="2305"/>
      <c r="AB70" s="2305"/>
      <c r="AC70" s="2305"/>
      <c r="AD70" s="2305"/>
      <c r="AE70" s="2305"/>
      <c r="AF70" s="2305"/>
      <c r="AG70" s="2305"/>
      <c r="AH70" s="2305"/>
      <c r="AI70" s="2305"/>
      <c r="AJ70" s="2305"/>
      <c r="AK70" s="2305"/>
      <c r="AL70" s="2305"/>
      <c r="AM70" s="2305"/>
      <c r="AN70" s="2305"/>
      <c r="AO70" s="2305"/>
      <c r="AP70" s="2305"/>
      <c r="AQ70" s="2305"/>
      <c r="AW70" s="1162">
        <v>27</v>
      </c>
    </row>
    <row customHeight="1" ht="18.75">
      <c r="P71" s="516"/>
      <c r="V71" s="2305"/>
      <c r="W71" s="2305"/>
      <c r="X71" s="2305"/>
      <c r="Y71" s="2305"/>
      <c r="Z71" s="2305"/>
      <c r="AA71" s="2305"/>
      <c r="AB71" s="2305"/>
      <c r="AC71" s="2305"/>
      <c r="AD71" s="2305"/>
      <c r="AE71" s="2305"/>
      <c r="AF71" s="2305"/>
      <c r="AG71" s="2305"/>
      <c r="AH71" s="2305"/>
      <c r="AI71" s="2305"/>
      <c r="AJ71" s="2305"/>
      <c r="AK71" s="2305"/>
      <c r="AL71" s="2305"/>
      <c r="AM71" s="2305"/>
      <c r="AN71" s="2305"/>
      <c r="AO71" s="2305"/>
      <c r="AP71" s="2305"/>
      <c r="AQ71" s="2305"/>
      <c r="AW71" s="1162">
        <v>18</v>
      </c>
    </row>
    <row customHeight="1" ht="22.5" hidden="1">
      <c r="A72" s="1162" t="s">
        <v>81</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79370E-4109-DF04-86F4-0.FCF614F1}" mc:Ignorable="x14ac xr xr2 xr3">
  <sheetPr>
    <tabColor rgb="FFCCCCFF"/>
  </sheetPr>
  <dimension ref="A1:Q79"/>
  <sheetViews>
    <sheetView topLeftCell="A1" showGridLines="0" zoomScale="90" workbookViewId="0">
      <selection activeCell="F64" sqref="F64:F65"/>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45"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6" t="str">
        <f>code</f>
        <v>Код отчёта: PP108.OPEN.INFO.BALANCE.COLDVSNA.EIAS</v>
      </c>
      <c r="F2" s="276"/>
      <c r="G2" s="252"/>
      <c r="H2" s="252"/>
      <c r="I2" s="252"/>
      <c r="J2" s="879"/>
      <c r="K2" s="252"/>
      <c r="Q2" s="78">
        <v>14</v>
      </c>
    </row>
    <row customHeight="1" ht="14.699999999999998">
      <c r="E3" s="253" t="str">
        <f>version</f>
        <v>Версия отчёта: 1.1.5</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15"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6"/>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5"/>
      <c r="G9" s="779"/>
      <c r="I9" s="1904"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0" t="s">
        <v>19</v>
      </c>
      <c r="G10" s="84"/>
      <c r="H10" s="416"/>
      <c r="I10" s="418"/>
      <c r="J10" s="884"/>
      <c r="Q10" s="437">
        <v>24</v>
      </c>
    </row>
    <row customHeight="1" ht="22.5" hidden="1">
      <c r="A11" s="2118" t="s">
        <v>20</v>
      </c>
      <c r="D11" s="82"/>
      <c r="E11" s="1172" t="s">
        <v>21</v>
      </c>
      <c r="F11" s="1738" t="s">
        <v>22</v>
      </c>
      <c r="G11" s="84"/>
      <c r="H11" s="780" t="s">
        <v>23</v>
      </c>
      <c r="J11" s="883" t="s">
        <v>24</v>
      </c>
      <c r="Q11" s="81">
        <v>0</v>
      </c>
    </row>
    <row customHeight="1" ht="22.5" hidden="1">
      <c r="A12" s="2118"/>
      <c r="D12" s="82"/>
      <c r="E12" s="1172" t="s">
        <v>25</v>
      </c>
      <c r="F12" s="1738"/>
      <c r="G12" s="80"/>
      <c r="J12" s="883" t="s">
        <v>26</v>
      </c>
      <c r="Q12" s="81">
        <v>0</v>
      </c>
    </row>
    <row s="1642" customFormat="1" customHeight="1" ht="22.5" hidden="1">
      <c r="A13" s="795" t="s">
        <v>27</v>
      </c>
      <c r="B13" s="105"/>
      <c r="C13" s="415"/>
      <c r="D13" s="417"/>
      <c r="E13" s="1781" t="s">
        <v>28</v>
      </c>
      <c r="F13" s="1738" t="s">
        <v>22</v>
      </c>
      <c r="G13" s="84"/>
      <c r="H13" s="777"/>
      <c r="I13" s="418"/>
      <c r="J13" s="1782" t="s">
        <v>29</v>
      </c>
      <c r="Q13" s="416">
        <v>0</v>
      </c>
    </row>
    <row s="1642" customFormat="1" customHeight="1" ht="27">
      <c r="A14" s="795" t="s">
        <v>30</v>
      </c>
      <c r="B14" s="105"/>
      <c r="C14" s="415"/>
      <c r="D14" s="417"/>
      <c r="E14" s="1172" t="s">
        <v>31</v>
      </c>
      <c r="F14" s="1773">
        <v>2024</v>
      </c>
      <c r="G14" s="84"/>
      <c r="H14" s="777"/>
      <c r="I14" s="418"/>
      <c r="J14" s="883" t="s">
        <v>32</v>
      </c>
      <c r="Q14" s="416">
        <v>0</v>
      </c>
    </row>
    <row s="1642" customFormat="1" customHeight="1" ht="19.5" hidden="1">
      <c r="A15" s="795" t="s">
        <v>33</v>
      </c>
      <c r="B15" s="105"/>
      <c r="C15" s="415"/>
      <c r="D15" s="417"/>
      <c r="E15" s="1172" t="s">
        <v>34</v>
      </c>
      <c r="F15" s="1773"/>
      <c r="G15" s="84"/>
      <c r="H15" s="777"/>
      <c r="I15" s="418"/>
      <c r="J15" s="883" t="s">
        <v>35</v>
      </c>
      <c r="Q15" s="416">
        <v>0</v>
      </c>
    </row>
    <row s="1619" customFormat="1" customHeight="1" ht="6.3">
      <c r="A16" s="792"/>
      <c r="B16" s="239"/>
      <c r="C16" s="240"/>
      <c r="D16" s="246"/>
      <c r="E16" s="244"/>
      <c r="F16" s="247"/>
      <c r="G16" s="84"/>
      <c r="H16" s="416"/>
      <c r="I16" s="418"/>
      <c r="J16" s="881"/>
      <c r="Q16" s="243">
        <v>6</v>
      </c>
    </row>
    <row customHeight="1" ht="21">
      <c r="D17" s="82"/>
      <c r="E17" s="398" t="s">
        <v>36</v>
      </c>
      <c r="F17" s="223" t="s">
        <v>37</v>
      </c>
      <c r="G17" s="80"/>
      <c r="H17" s="780" t="s">
        <v>23</v>
      </c>
      <c r="Q17" s="81">
        <v>20</v>
      </c>
    </row>
    <row customHeight="1" ht="25.5" hidden="1">
      <c r="D18" s="82"/>
      <c r="E18" s="1781" t="s">
        <v>38</v>
      </c>
      <c r="F18" s="1739"/>
      <c r="G18" s="80"/>
      <c r="I18" s="781"/>
      <c r="J18" s="2117" t="s">
        <v>39</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80"/>
      <c r="I19" s="781"/>
      <c r="J19" s="2117"/>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40</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8"/>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41</v>
      </c>
      <c r="F23" s="223"/>
      <c r="G23" s="80"/>
      <c r="Q23" s="81">
        <v>0</v>
      </c>
    </row>
    <row customHeight="1" ht="19.5" hidden="1">
      <c r="D24" s="82"/>
      <c r="E24" s="398" t="s">
        <v>42</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43</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39"/>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44</v>
      </c>
      <c r="F28" s="225"/>
      <c r="G28" s="80"/>
      <c r="Q28" s="81">
        <v>0</v>
      </c>
    </row>
    <row customHeight="1" ht="19.5" hidden="1">
      <c r="D29" s="82"/>
      <c r="E29" s="398" t="s">
        <v>42</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45</v>
      </c>
      <c r="G31" s="783"/>
      <c r="Q31" s="81">
        <v>20</v>
      </c>
    </row>
    <row customHeight="1" ht="21" hidden="1">
      <c r="C32" s="85"/>
      <c r="D32" s="86"/>
      <c r="E32" s="399" t="s">
        <v>46</v>
      </c>
      <c r="F32" s="224"/>
      <c r="G32" s="783"/>
      <c r="Q32" s="81">
        <v>20</v>
      </c>
    </row>
    <row customHeight="1" ht="21">
      <c r="C33" s="85"/>
      <c r="D33" s="86"/>
      <c r="E33" s="398" t="s">
        <v>47</v>
      </c>
      <c r="F33" s="224" t="s">
        <v>48</v>
      </c>
      <c r="G33" s="783"/>
      <c r="Q33" s="81">
        <v>20</v>
      </c>
    </row>
    <row customHeight="1" ht="21">
      <c r="C34" s="85"/>
      <c r="D34" s="86"/>
      <c r="E34" s="398" t="s">
        <v>49</v>
      </c>
      <c r="F34" s="224" t="s">
        <v>50</v>
      </c>
      <c r="G34" s="783"/>
      <c r="H34" s="87"/>
      <c r="Q34" s="81">
        <v>20</v>
      </c>
    </row>
    <row s="1619" customFormat="1" customHeight="1" ht="11.549999999999999">
      <c r="A35" s="792"/>
      <c r="B35" s="239"/>
      <c r="C35" s="240"/>
      <c r="D35" s="246"/>
      <c r="E35" s="244"/>
      <c r="F35" s="247"/>
      <c r="G35" s="84"/>
      <c r="H35" s="416"/>
      <c r="I35" s="418"/>
      <c r="J35" s="881"/>
      <c r="Q35" s="243">
        <v>11</v>
      </c>
    </row>
    <row customHeight="1" ht="19.5" hidden="1">
      <c r="A36" s="886"/>
      <c r="D36" s="86"/>
      <c r="E36" s="398" t="s">
        <v>51</v>
      </c>
      <c r="F36" s="355"/>
      <c r="G36" s="84"/>
      <c r="Q36" s="81">
        <v>0</v>
      </c>
    </row>
    <row customHeight="1" ht="21">
      <c r="A37" s="886"/>
      <c r="D37" s="86"/>
      <c r="E37" s="398" t="s">
        <v>52</v>
      </c>
      <c r="F37" s="1217" t="s">
        <v>53</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54</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55</v>
      </c>
      <c r="F43" s="717" t="s">
        <v>19</v>
      </c>
      <c r="G43" s="80"/>
      <c r="I43" s="418"/>
      <c r="J43" s="883"/>
      <c r="Q43" s="416">
        <v>0</v>
      </c>
    </row>
    <row s="1642" customFormat="1" customHeight="1" ht="27" hidden="1">
      <c r="A44" s="791"/>
      <c r="B44" s="420"/>
      <c r="C44" s="415"/>
      <c r="D44" s="417"/>
      <c r="E44" s="1172" t="s">
        <v>56</v>
      </c>
      <c r="F44" s="1892"/>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57</v>
      </c>
      <c r="F46" s="717" t="s">
        <v>19</v>
      </c>
      <c r="G46" s="80"/>
      <c r="H46" s="416"/>
      <c r="I46" s="418"/>
      <c r="J46" s="883"/>
      <c r="Q46" s="437">
        <v>0</v>
      </c>
    </row>
    <row s="1642" customFormat="1" customHeight="1" ht="24.75" hidden="1">
      <c r="A47" s="791"/>
      <c r="B47" s="420"/>
      <c r="C47" s="415"/>
      <c r="D47" s="417"/>
      <c r="E47" s="1172" t="s">
        <v>58</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7"/>
      <c r="G49" s="80"/>
      <c r="Q49" s="81">
        <v>0</v>
      </c>
    </row>
    <row s="1619" customFormat="1" customHeight="1" ht="6">
      <c r="A50" s="792"/>
      <c r="B50" s="433"/>
      <c r="C50" s="434"/>
      <c r="D50" s="246"/>
      <c r="E50" s="244"/>
      <c r="F50" s="247"/>
      <c r="G50" s="84"/>
      <c r="H50" s="416"/>
      <c r="I50" s="418"/>
      <c r="J50" s="883"/>
      <c r="Q50" s="437">
        <v>0</v>
      </c>
    </row>
    <row s="1642" customFormat="1" customHeight="1" ht="28.5">
      <c r="A51" s="793"/>
      <c r="B51" s="420"/>
      <c r="C51" s="537"/>
      <c r="D51" s="538"/>
      <c r="E51" s="398" t="s">
        <v>59</v>
      </c>
      <c r="F51" s="717" t="s">
        <v>19</v>
      </c>
      <c r="G51" s="539"/>
      <c r="I51" s="541"/>
      <c r="J51" s="885"/>
      <c r="P51" s="542"/>
      <c r="Q51" s="540">
        <v>0</v>
      </c>
    </row>
    <row s="1619" customFormat="1" customHeight="1" ht="6">
      <c r="A52" s="792"/>
      <c r="B52" s="433"/>
      <c r="C52" s="434"/>
      <c r="D52" s="246"/>
      <c r="E52" s="244"/>
      <c r="F52" s="247"/>
      <c r="G52" s="84"/>
      <c r="H52" s="416"/>
      <c r="I52" s="418"/>
      <c r="J52" s="881"/>
      <c r="Q52" s="437">
        <v>0</v>
      </c>
    </row>
    <row s="1642" customFormat="1" customHeight="1" ht="27">
      <c r="A53" s="793"/>
      <c r="B53" s="420"/>
      <c r="C53" s="537"/>
      <c r="D53" s="538"/>
      <c r="E53" s="398" t="s">
        <v>60</v>
      </c>
      <c r="F53" s="1055" t="s">
        <v>61</v>
      </c>
      <c r="G53" s="539"/>
      <c r="I53" s="541"/>
      <c r="J53" s="885"/>
      <c r="P53" s="542"/>
      <c r="Q53" s="540">
        <v>0</v>
      </c>
    </row>
    <row s="1642" customFormat="1" customHeight="1" ht="27">
      <c r="A54" s="793"/>
      <c r="B54" s="420"/>
      <c r="C54" s="537"/>
      <c r="D54" s="538"/>
      <c r="E54" s="398" t="s">
        <v>62</v>
      </c>
      <c r="F54" s="2651">
        <v>45747</v>
      </c>
      <c r="G54" s="539"/>
      <c r="I54" s="541"/>
      <c r="J54" s="885"/>
      <c r="P54" s="542"/>
      <c r="Q54" s="540">
        <v>0</v>
      </c>
    </row>
    <row s="1619" customFormat="1" customHeight="1" ht="6">
      <c r="A55" s="792"/>
      <c r="B55" s="433"/>
      <c r="C55" s="434"/>
      <c r="D55" s="246"/>
      <c r="E55" s="244"/>
      <c r="F55" s="247"/>
      <c r="G55" s="84"/>
      <c r="H55" s="416"/>
      <c r="I55" s="418"/>
      <c r="J55" s="881"/>
      <c r="Q55" s="437">
        <v>0</v>
      </c>
    </row>
    <row s="1642" customFormat="1" customHeight="1" ht="25.5">
      <c r="A56" s="793"/>
      <c r="B56" s="420"/>
      <c r="C56" s="537"/>
      <c r="D56" s="538"/>
      <c r="E56" s="398" t="s">
        <v>63</v>
      </c>
      <c r="F56" s="1055" t="s">
        <v>19</v>
      </c>
      <c r="G56" s="539"/>
      <c r="I56" s="541"/>
      <c r="J56" s="885"/>
      <c r="P56" s="542"/>
      <c r="Q56" s="540">
        <v>0</v>
      </c>
    </row>
    <row s="1619" customFormat="1" customHeight="1" ht="6">
      <c r="A57" s="792"/>
      <c r="B57" s="433"/>
      <c r="C57" s="434"/>
      <c r="D57" s="246"/>
      <c r="E57" s="244"/>
      <c r="F57" s="247"/>
      <c r="G57" s="84"/>
      <c r="H57" s="416"/>
      <c r="I57" s="418"/>
      <c r="J57" s="881"/>
      <c r="Q57" s="437">
        <v>0</v>
      </c>
    </row>
    <row s="1642" customFormat="1" customHeight="1" ht="15">
      <c r="A58" s="793"/>
      <c r="B58" s="420"/>
      <c r="C58" s="537"/>
      <c r="D58" s="538"/>
      <c r="E58" s="398" t="s">
        <v>64</v>
      </c>
      <c r="F58" s="1055" t="s">
        <v>61</v>
      </c>
      <c r="G58" s="539"/>
      <c r="I58" s="541"/>
      <c r="J58" s="885"/>
      <c r="P58" s="542"/>
      <c r="Q58" s="540">
        <v>0</v>
      </c>
    </row>
    <row s="1642" customFormat="1" customHeight="1" ht="75">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6" t="s">
        <v>61</v>
      </c>
      <c r="G59" s="539"/>
      <c r="I59" s="541"/>
      <c r="J59" s="885"/>
      <c r="P59" s="542"/>
      <c r="Q59" s="540">
        <v>0</v>
      </c>
    </row>
    <row s="1642" customFormat="1" customHeight="1" ht="15">
      <c r="A60" s="793"/>
      <c r="B60" s="420"/>
      <c r="C60" s="537"/>
      <c r="D60" s="538"/>
      <c r="E60" s="1172" t="s">
        <v>65</v>
      </c>
      <c r="F60" s="1217" t="s">
        <v>66</v>
      </c>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67</v>
      </c>
      <c r="F62" s="1677"/>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68</v>
      </c>
      <c r="F64" s="223" t="s">
        <v>69</v>
      </c>
      <c r="G64" s="84"/>
      <c r="Q64" s="81">
        <v>20</v>
      </c>
    </row>
    <row customHeight="1" ht="21">
      <c r="A65" s="794"/>
      <c r="B65" s="106"/>
      <c r="D65" s="89"/>
      <c r="E65" s="398" t="s">
        <v>70</v>
      </c>
      <c r="F65" s="223" t="s">
        <v>71</v>
      </c>
      <c r="G65" s="84"/>
      <c r="Q65" s="81">
        <v>20</v>
      </c>
    </row>
    <row customHeight="1" ht="36.75">
      <c r="D66" s="82"/>
      <c r="E66" s="400" t="s">
        <v>72</v>
      </c>
      <c r="F66" s="1061"/>
      <c r="G66" s="80"/>
      <c r="Q66" s="81">
        <v>35</v>
      </c>
    </row>
    <row customHeight="1" ht="21">
      <c r="A67" s="794"/>
      <c r="D67" s="417"/>
      <c r="E67" s="398" t="s">
        <v>73</v>
      </c>
      <c r="F67" s="278" t="s">
        <v>74</v>
      </c>
      <c r="G67" s="84"/>
      <c r="Q67" s="81">
        <v>20</v>
      </c>
    </row>
    <row customHeight="1" ht="21">
      <c r="A68" s="794"/>
      <c r="B68" s="106"/>
      <c r="D68" s="89"/>
      <c r="E68" s="398" t="s">
        <v>75</v>
      </c>
      <c r="F68" s="278" t="s">
        <v>76</v>
      </c>
      <c r="G68" s="84"/>
      <c r="Q68" s="81">
        <v>20</v>
      </c>
    </row>
    <row customHeight="1" ht="21">
      <c r="A69" s="794"/>
      <c r="B69" s="106"/>
      <c r="D69" s="89"/>
      <c r="E69" s="398" t="s">
        <v>77</v>
      </c>
      <c r="F69" s="278" t="s">
        <v>78</v>
      </c>
      <c r="G69" s="84"/>
      <c r="Q69" s="81">
        <v>20</v>
      </c>
    </row>
    <row customHeight="1" ht="21">
      <c r="D70" s="417"/>
      <c r="E70" s="398" t="s">
        <v>79</v>
      </c>
      <c r="F70" s="278" t="s">
        <v>80</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81</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05D58CE-F3DD-FB49-0E85-0.979828B5}"/>
    <hyperlink ref="H17" location="Титульный!H9" display="Как заполнить?" tooltip="Помощь по работе с полями отчётной формы" xr:uid="{2498F76B-E143-C81E-BA78-0.C074ED7F}"/>
    <hyperlink ref="H39" location="Титульный!H9" display="Как заполнить?" tooltip="Помощь по работе с полями отчётной формы" xr:uid="{9845581C-F5E5-78DF-B5DD-0.8B56832A}"/>
    <hyperlink ref="H62" location="Титульный!H9" display="Как заполнить?" tooltip="Помощь по работе с полями отчётной формы" xr:uid="{8525CF1E-3B75-A0FC-036B-0.5011D9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C7F3-4201-67DC-D04F-0.C58F8E1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27" width="19.140625" hidden="1" customWidth="1"/>
    <col min="13" max="14" style="1782" width="12.28125" hidden="1" customWidth="1"/>
    <col min="15" max="15" style="1782" width="23.421875" hidden="1" customWidth="1"/>
    <col min="16" max="16" style="1782" width="3.00390625" customWidth="1"/>
    <col min="17" max="17" style="1378" width="3.00390625" customWidth="1"/>
    <col min="18" max="18" style="351" width="3.00390625" customWidth="1"/>
    <col min="19" max="19" style="2427"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78">
        <v>1</v>
      </c>
      <c r="F2" s="1370"/>
      <c r="G2" s="1370"/>
      <c r="H2" s="1370"/>
      <c r="I2" s="1370"/>
      <c r="J2" s="1370"/>
      <c r="K2" s="1370"/>
      <c r="L2" s="1371"/>
      <c r="M2" s="1372"/>
      <c r="N2" s="1372"/>
      <c r="O2" s="1372"/>
      <c r="P2" s="1416"/>
      <c r="Q2" s="880"/>
      <c r="R2" s="362"/>
      <c r="S2" s="1343">
        <f>INDEX(PT_DIFFERENTIATION_NUM_NTAR,MATCH(A2,PT_DIFFERENTIATION_NTAR_ID,0))</f>
      </c>
      <c r="T2" s="305" t="s">
        <v>124</v>
      </c>
      <c r="U2" s="307"/>
      <c r="V2" s="2263"/>
      <c r="W2" s="2263"/>
      <c r="X2" s="2263"/>
      <c r="Y2" s="2263"/>
      <c r="Z2" s="2263"/>
      <c r="AA2" s="2264"/>
      <c r="AB2" s="2262">
        <f>INDEX(PT_DIFFERENTIATION_NTAR,MATCH(A2,PT_DIFFERENTIATION_NTAR_ID,0))</f>
      </c>
      <c r="AC2" s="2263"/>
      <c r="AD2" s="2263"/>
      <c r="AE2" s="2263"/>
      <c r="AF2" s="2263"/>
      <c r="AG2" s="2263"/>
      <c r="AH2" s="2263"/>
      <c r="AI2" s="2263"/>
      <c r="AJ2" s="2263"/>
      <c r="AK2" s="2263"/>
      <c r="AL2" s="2263"/>
      <c r="AM2" s="2263"/>
      <c r="AN2" s="2263"/>
      <c r="AO2" s="2263"/>
      <c r="AP2" s="2263"/>
      <c r="AQ2" s="2263"/>
      <c r="AR2" s="2263"/>
      <c r="AS2" s="2263"/>
      <c r="AT2" s="2264"/>
      <c r="AU2" s="1265" t="s">
        <v>395</v>
      </c>
      <c r="AW2" s="507"/>
      <c r="AX2" s="507" t="str">
        <f>IF(T2="","",T2)</f>
        <v>Наименование тарифа</v>
      </c>
      <c r="AY2" s="507"/>
      <c r="AZ2" s="507"/>
      <c r="BA2" s="1162">
        <v>0</v>
      </c>
    </row>
    <row customHeight="1" ht="21" hidden="1">
      <c r="A3" s="1370"/>
      <c r="B3" s="1370"/>
      <c r="C3" s="1370"/>
      <c r="D3" s="1370"/>
      <c r="E3" s="2279"/>
      <c r="F3" s="2278">
        <v>1</v>
      </c>
      <c r="G3" s="1370"/>
      <c r="H3" s="1370"/>
      <c r="I3" s="1370"/>
      <c r="J3" s="1370"/>
      <c r="K3" s="1370"/>
      <c r="L3" s="1371"/>
      <c r="M3" s="1372"/>
      <c r="N3" s="1372"/>
      <c r="O3" s="1372"/>
      <c r="P3" s="1417"/>
      <c r="Q3" s="1418"/>
      <c r="R3" s="360"/>
      <c r="S3" s="1343">
        <f>INDEX(PT_DIFFERENTIATION_NUM_TER,MATCH(B3,PT_DIFFERENTIATION_TER_ID,0))</f>
      </c>
      <c r="T3" s="315" t="s">
        <v>396</v>
      </c>
      <c r="U3" s="307"/>
      <c r="V3" s="2263"/>
      <c r="W3" s="2263"/>
      <c r="X3" s="2263"/>
      <c r="Y3" s="2263"/>
      <c r="Z3" s="2263"/>
      <c r="AA3" s="2264"/>
      <c r="AB3" s="2262">
        <f>INDEX(PT_DIFFERENTIATION_TER,MATCH(B3,PT_DIFFERENTIATION_TER_ID,0))</f>
      </c>
      <c r="AC3" s="2263"/>
      <c r="AD3" s="2263"/>
      <c r="AE3" s="2263"/>
      <c r="AF3" s="2263"/>
      <c r="AG3" s="2263"/>
      <c r="AH3" s="2263"/>
      <c r="AI3" s="2263"/>
      <c r="AJ3" s="2263"/>
      <c r="AK3" s="2263"/>
      <c r="AL3" s="2263"/>
      <c r="AM3" s="2263"/>
      <c r="AN3" s="2263"/>
      <c r="AO3" s="2263"/>
      <c r="AP3" s="2263"/>
      <c r="AQ3" s="2263"/>
      <c r="AR3" s="2263"/>
      <c r="AS3" s="2263"/>
      <c r="AT3" s="2264"/>
      <c r="AU3" s="1265" t="s">
        <v>397</v>
      </c>
      <c r="AW3" s="507"/>
      <c r="AX3" s="507" t="str">
        <f>IF(T3="","",T3)</f>
        <v>Территория действия тарифа</v>
      </c>
      <c r="AY3" s="507"/>
      <c r="AZ3" s="507"/>
      <c r="BA3" s="1162">
        <v>0</v>
      </c>
    </row>
    <row customHeight="1" ht="22.5" hidden="1">
      <c r="A4" s="1370"/>
      <c r="B4" s="1370"/>
      <c r="C4" s="1370"/>
      <c r="D4" s="1370"/>
      <c r="E4" s="2279"/>
      <c r="F4" s="2279"/>
      <c r="G4" s="2278">
        <v>1</v>
      </c>
      <c r="H4" s="1370"/>
      <c r="I4" s="1370"/>
      <c r="J4" s="1370"/>
      <c r="K4" s="1370"/>
      <c r="L4" s="1371"/>
      <c r="M4" s="1372"/>
      <c r="N4" s="1372"/>
      <c r="O4" s="1372"/>
      <c r="P4" s="1419"/>
      <c r="Q4" s="1418"/>
      <c r="R4" s="360"/>
      <c r="S4" s="1343">
        <f>INDEX(PT_DIFFERENTIATION_NUM_CS,MATCH(C4,PT_DIFFERENTIATION_CS_ID,0))</f>
      </c>
      <c r="T4" s="316" t="s">
        <v>398</v>
      </c>
      <c r="U4" s="307"/>
      <c r="V4" s="2263"/>
      <c r="W4" s="2263"/>
      <c r="X4" s="2263"/>
      <c r="Y4" s="2263"/>
      <c r="Z4" s="2263"/>
      <c r="AA4" s="2264"/>
      <c r="AB4" s="2262">
        <f>INDEX(PT_DIFFERENTIATION_CS,MATCH(C4,PT_DIFFERENTIATION_CS_ID,0))</f>
      </c>
      <c r="AC4" s="2263"/>
      <c r="AD4" s="2263"/>
      <c r="AE4" s="2263"/>
      <c r="AF4" s="2263"/>
      <c r="AG4" s="2263"/>
      <c r="AH4" s="2263"/>
      <c r="AI4" s="2263"/>
      <c r="AJ4" s="2263"/>
      <c r="AK4" s="2263"/>
      <c r="AL4" s="2263"/>
      <c r="AM4" s="2263"/>
      <c r="AN4" s="2263"/>
      <c r="AO4" s="2263"/>
      <c r="AP4" s="2263"/>
      <c r="AQ4" s="2263"/>
      <c r="AR4" s="2263"/>
      <c r="AS4" s="2263"/>
      <c r="AT4" s="2264"/>
      <c r="AU4" s="1265" t="s">
        <v>399</v>
      </c>
      <c r="AW4" s="507"/>
      <c r="AX4" s="507" t="str">
        <f>IF(T4="","",T4)</f>
        <v>Наименование системы теплоснабжения </v>
      </c>
      <c r="AY4" s="507"/>
      <c r="AZ4" s="507"/>
      <c r="BA4" s="1162">
        <v>0</v>
      </c>
    </row>
    <row customHeight="1" ht="21" hidden="1">
      <c r="A5" s="1370"/>
      <c r="B5" s="1370"/>
      <c r="C5" s="1370"/>
      <c r="D5" s="1370"/>
      <c r="E5" s="2279"/>
      <c r="F5" s="2279"/>
      <c r="G5" s="2279"/>
      <c r="H5" s="2278">
        <v>1</v>
      </c>
      <c r="I5" s="1370"/>
      <c r="J5" s="1370"/>
      <c r="K5" s="1370"/>
      <c r="L5" s="1371"/>
      <c r="M5" s="1372"/>
      <c r="N5" s="1372"/>
      <c r="O5" s="1372"/>
      <c r="P5" s="1419"/>
      <c r="Q5" s="1418"/>
      <c r="R5" s="360"/>
      <c r="S5" s="1343">
        <f>INDEX(PT_DIFFERENTIATION_NUM_IST_TE,MATCH(D5,PT_DIFFERENTIATION_IST_TE_ID,0))</f>
      </c>
      <c r="T5" s="317" t="s">
        <v>400</v>
      </c>
      <c r="U5" s="307"/>
      <c r="V5" s="2263"/>
      <c r="W5" s="2263"/>
      <c r="X5" s="2263"/>
      <c r="Y5" s="2263"/>
      <c r="Z5" s="2263"/>
      <c r="AA5" s="2264"/>
      <c r="AB5" s="2262">
        <f>INDEX(PT_DIFFERENTIATION_IST_TE,MATCH(D5,PT_DIFFERENTIATION_IST_TE_ID,0))</f>
      </c>
      <c r="AC5" s="2263"/>
      <c r="AD5" s="2263"/>
      <c r="AE5" s="2263"/>
      <c r="AF5" s="2263"/>
      <c r="AG5" s="2263"/>
      <c r="AH5" s="2263"/>
      <c r="AI5" s="2263"/>
      <c r="AJ5" s="2263"/>
      <c r="AK5" s="2263"/>
      <c r="AL5" s="2263"/>
      <c r="AM5" s="2263"/>
      <c r="AN5" s="2263"/>
      <c r="AO5" s="2263"/>
      <c r="AP5" s="2263"/>
      <c r="AQ5" s="2263"/>
      <c r="AR5" s="2263"/>
      <c r="AS5" s="2263"/>
      <c r="AT5" s="2264"/>
      <c r="AU5" s="1265" t="s">
        <v>401</v>
      </c>
      <c r="AW5" s="507"/>
      <c r="AX5" s="507" t="str">
        <f>IF(T5="","",T5)</f>
        <v>Источник тепловой энергии  </v>
      </c>
      <c r="AY5" s="507"/>
      <c r="AZ5" s="507"/>
      <c r="BA5" s="1162">
        <v>0</v>
      </c>
    </row>
    <row s="1649" customFormat="1" customHeight="1" ht="0.75" hidden="1">
      <c r="A6" s="1350"/>
      <c r="B6" s="1350"/>
      <c r="C6" s="1350"/>
      <c r="D6" s="1350"/>
      <c r="E6" s="2279"/>
      <c r="F6" s="2279"/>
      <c r="G6" s="2279"/>
      <c r="H6" s="2279"/>
      <c r="I6" s="2276">
        <f>S5&amp;".1"</f>
      </c>
      <c r="J6" s="1350"/>
      <c r="K6" s="1350"/>
      <c r="L6" s="1353" t="s">
        <v>402</v>
      </c>
      <c r="M6" s="517"/>
      <c r="N6" s="517"/>
      <c r="O6" s="517"/>
      <c r="P6" s="2277">
        <v>1</v>
      </c>
      <c r="Q6" s="1338"/>
      <c r="R6" s="363"/>
      <c r="S6" s="1049"/>
      <c r="T6" s="1390"/>
      <c r="U6" s="1391"/>
      <c r="V6" s="2317"/>
      <c r="W6" s="2317"/>
      <c r="X6" s="2317"/>
      <c r="Y6" s="2317"/>
      <c r="Z6" s="2317"/>
      <c r="AA6" s="2318"/>
      <c r="AB6" s="2316"/>
      <c r="AC6" s="2317"/>
      <c r="AD6" s="2317"/>
      <c r="AE6" s="2317"/>
      <c r="AF6" s="2317"/>
      <c r="AG6" s="2317"/>
      <c r="AH6" s="2317"/>
      <c r="AI6" s="2317"/>
      <c r="AJ6" s="2317"/>
      <c r="AK6" s="2317"/>
      <c r="AL6" s="2317"/>
      <c r="AM6" s="2317"/>
      <c r="AN6" s="2317"/>
      <c r="AO6" s="2317"/>
      <c r="AP6" s="2317"/>
      <c r="AQ6" s="2317"/>
      <c r="AR6" s="2317"/>
      <c r="AS6" s="2317"/>
      <c r="AT6" s="2318"/>
      <c r="AU6" s="1392"/>
      <c r="AW6" s="507"/>
      <c r="AX6" s="507" t="str">
        <f>IF(T6="","",T6)</f>
        <v/>
      </c>
      <c r="AY6" s="507"/>
      <c r="AZ6" s="507"/>
      <c r="BA6" s="518">
        <v>0</v>
      </c>
    </row>
    <row s="1649" customFormat="1" customHeight="1" ht="0.75" hidden="1">
      <c r="A7" s="1350"/>
      <c r="B7" s="1350"/>
      <c r="C7" s="1350"/>
      <c r="D7" s="1350"/>
      <c r="E7" s="2279"/>
      <c r="F7" s="2279"/>
      <c r="G7" s="2279"/>
      <c r="H7" s="2279"/>
      <c r="I7" s="2306"/>
      <c r="J7" s="2276">
        <f>S5&amp;".1"</f>
      </c>
      <c r="K7" s="1350"/>
      <c r="L7" s="1353"/>
      <c r="M7" s="517"/>
      <c r="N7" s="517"/>
      <c r="O7" s="517"/>
      <c r="P7" s="2277"/>
      <c r="Q7" s="2277">
        <v>1</v>
      </c>
      <c r="R7" s="364"/>
      <c r="S7" s="1049"/>
      <c r="T7" s="1406"/>
      <c r="U7" s="1391"/>
      <c r="V7" s="2317"/>
      <c r="W7" s="2317"/>
      <c r="X7" s="2317"/>
      <c r="Y7" s="2317"/>
      <c r="Z7" s="2317"/>
      <c r="AA7" s="2318"/>
      <c r="AB7" s="2316"/>
      <c r="AC7" s="2317"/>
      <c r="AD7" s="2317"/>
      <c r="AE7" s="2317"/>
      <c r="AF7" s="2317"/>
      <c r="AG7" s="2317"/>
      <c r="AH7" s="2317"/>
      <c r="AI7" s="2317"/>
      <c r="AJ7" s="2317"/>
      <c r="AK7" s="2317"/>
      <c r="AL7" s="2317"/>
      <c r="AM7" s="2317"/>
      <c r="AN7" s="2317"/>
      <c r="AO7" s="2317"/>
      <c r="AP7" s="2317"/>
      <c r="AQ7" s="2317"/>
      <c r="AR7" s="2317"/>
      <c r="AS7" s="2317"/>
      <c r="AT7" s="2318"/>
      <c r="AU7" s="1392"/>
      <c r="AW7" s="507"/>
      <c r="AX7" s="507" t="str">
        <f>IF(T7="","",T7)</f>
        <v/>
      </c>
      <c r="AY7" s="507"/>
      <c r="AZ7" s="507"/>
      <c r="BA7" s="518">
        <v>0</v>
      </c>
    </row>
    <row customHeight="1" ht="21" hidden="1">
      <c r="A8" s="1370"/>
      <c r="B8" s="1370"/>
      <c r="C8" s="1370"/>
      <c r="D8" s="1370"/>
      <c r="E8" s="2279"/>
      <c r="F8" s="2279"/>
      <c r="G8" s="2279"/>
      <c r="H8" s="2279"/>
      <c r="I8" s="2306"/>
      <c r="J8" s="2306"/>
      <c r="K8" s="2276">
        <f>S5&amp;".1"</f>
      </c>
      <c r="L8" s="1371"/>
      <c r="P8" s="2277"/>
      <c r="Q8" s="2277"/>
      <c r="R8" s="2367">
        <v>1</v>
      </c>
      <c r="S8" s="2361">
        <f>$K8</f>
      </c>
      <c r="T8" s="2364"/>
      <c r="U8" s="307"/>
      <c r="V8" s="758"/>
      <c r="W8" s="1264"/>
      <c r="X8" s="2285"/>
      <c r="Y8" s="2127" t="s">
        <v>61</v>
      </c>
      <c r="Z8" s="2285"/>
      <c r="AA8" s="2127" t="s">
        <v>61</v>
      </c>
      <c r="AB8" s="2127" t="s">
        <v>19</v>
      </c>
      <c r="AC8" s="2346"/>
      <c r="AD8" s="2225">
        <v>1</v>
      </c>
      <c r="AE8" s="2347"/>
      <c r="AF8" s="2127" t="s">
        <v>19</v>
      </c>
      <c r="AG8" s="2346"/>
      <c r="AH8" s="2225">
        <v>1</v>
      </c>
      <c r="AI8" s="2347"/>
      <c r="AJ8" s="2127" t="s">
        <v>19</v>
      </c>
      <c r="AK8" s="318"/>
      <c r="AL8" s="1344">
        <v>1</v>
      </c>
      <c r="AM8" s="1405"/>
      <c r="AN8" s="758"/>
      <c r="AO8" s="1264"/>
      <c r="AP8" s="1740"/>
      <c r="AQ8" s="1466" t="s">
        <v>61</v>
      </c>
      <c r="AR8" s="1740"/>
      <c r="AS8" s="1466" t="s">
        <v>61</v>
      </c>
      <c r="AT8" s="1355"/>
      <c r="AU8" s="2273" t="s">
        <v>463</v>
      </c>
      <c r="AV8" s="518">
        <f>STRCHECKDATE(V11:AT11)</f>
      </c>
      <c r="AW8" s="507"/>
      <c r="AX8" s="507" t="str">
        <f>IF(T8="","",T8)</f>
        <v/>
      </c>
      <c r="AY8" s="507"/>
      <c r="AZ8" s="507"/>
      <c r="BA8" s="1162">
        <v>0</v>
      </c>
    </row>
    <row customHeight="1" ht="11.25" hidden="1">
      <c r="A9" s="1370"/>
      <c r="B9" s="1370"/>
      <c r="C9" s="1370"/>
      <c r="D9" s="1370"/>
      <c r="E9" s="2279"/>
      <c r="F9" s="2279"/>
      <c r="G9" s="2279"/>
      <c r="H9" s="2279"/>
      <c r="I9" s="2306"/>
      <c r="J9" s="2306"/>
      <c r="K9" s="2276"/>
      <c r="L9" s="1371"/>
      <c r="P9" s="2277"/>
      <c r="Q9" s="2277"/>
      <c r="R9" s="2367"/>
      <c r="S9" s="2362"/>
      <c r="T9" s="2365"/>
      <c r="U9" s="307"/>
      <c r="V9" s="1400"/>
      <c r="W9" s="1404"/>
      <c r="X9" s="2285"/>
      <c r="Y9" s="2127"/>
      <c r="Z9" s="2285"/>
      <c r="AA9" s="2127"/>
      <c r="AB9" s="2127"/>
      <c r="AC9" s="2346"/>
      <c r="AD9" s="2225"/>
      <c r="AE9" s="2347"/>
      <c r="AF9" s="2127"/>
      <c r="AG9" s="2346"/>
      <c r="AH9" s="2225"/>
      <c r="AI9" s="2347"/>
      <c r="AJ9" s="2127"/>
      <c r="AK9" s="323"/>
      <c r="AL9" s="423"/>
      <c r="AM9" s="422" t="s">
        <v>464</v>
      </c>
      <c r="AN9" s="1400"/>
      <c r="AO9" s="1503"/>
      <c r="AP9" s="1400"/>
      <c r="AQ9" s="1400"/>
      <c r="AR9" s="1400"/>
      <c r="AS9" s="1400"/>
      <c r="AT9" s="1397"/>
      <c r="AU9" s="2274"/>
      <c r="AW9" s="507"/>
      <c r="AX9" s="507"/>
      <c r="AY9" s="507"/>
      <c r="AZ9" s="507"/>
      <c r="BA9" s="1162">
        <v>0</v>
      </c>
    </row>
    <row customHeight="1" ht="11.25" hidden="1">
      <c r="A10" s="1370"/>
      <c r="B10" s="1370"/>
      <c r="C10" s="1370"/>
      <c r="D10" s="1370"/>
      <c r="E10" s="2279"/>
      <c r="F10" s="2279"/>
      <c r="G10" s="2279"/>
      <c r="H10" s="2279"/>
      <c r="I10" s="2306"/>
      <c r="J10" s="2306"/>
      <c r="K10" s="2276"/>
      <c r="L10" s="1371"/>
      <c r="P10" s="2277"/>
      <c r="Q10" s="2277"/>
      <c r="R10" s="2367"/>
      <c r="S10" s="2362"/>
      <c r="T10" s="2365"/>
      <c r="U10" s="307"/>
      <c r="V10" s="1400"/>
      <c r="W10" s="1404"/>
      <c r="X10" s="2285"/>
      <c r="Y10" s="2127"/>
      <c r="Z10" s="2285"/>
      <c r="AA10" s="2127"/>
      <c r="AB10" s="2127"/>
      <c r="AC10" s="2346"/>
      <c r="AD10" s="2225"/>
      <c r="AE10" s="2347"/>
      <c r="AF10" s="2127"/>
      <c r="AG10" s="301"/>
      <c r="AH10" s="422"/>
      <c r="AI10" s="422" t="s">
        <v>465</v>
      </c>
      <c r="AJ10" s="1400"/>
      <c r="AK10" s="1400"/>
      <c r="AL10" s="1400"/>
      <c r="AM10" s="1400"/>
      <c r="AN10" s="1400"/>
      <c r="AO10" s="1503"/>
      <c r="AP10" s="1400"/>
      <c r="AQ10" s="1400"/>
      <c r="AR10" s="1400"/>
      <c r="AS10" s="1400"/>
      <c r="AT10" s="1397"/>
      <c r="AU10" s="2274"/>
      <c r="AW10" s="507"/>
      <c r="AX10" s="507"/>
      <c r="AY10" s="507"/>
      <c r="AZ10" s="507"/>
      <c r="BA10" s="1162">
        <v>0</v>
      </c>
    </row>
    <row customHeight="1" ht="11.25" hidden="1">
      <c r="A11" s="1370"/>
      <c r="B11" s="1370"/>
      <c r="C11" s="1370"/>
      <c r="D11" s="1370"/>
      <c r="E11" s="2279"/>
      <c r="F11" s="2279"/>
      <c r="G11" s="2279"/>
      <c r="H11" s="2279"/>
      <c r="I11" s="2306"/>
      <c r="J11" s="2306"/>
      <c r="K11" s="2276"/>
      <c r="L11" s="1371"/>
      <c r="P11" s="2277"/>
      <c r="Q11" s="2277"/>
      <c r="R11" s="2367"/>
      <c r="S11" s="2363"/>
      <c r="T11" s="2366"/>
      <c r="U11" s="307"/>
      <c r="V11" s="1400"/>
      <c r="W11" s="1403" t="str">
        <f>X8&amp;"-"&amp;Z8</f>
        <v>-</v>
      </c>
      <c r="X11" s="2286"/>
      <c r="Y11" s="2127"/>
      <c r="Z11" s="2286"/>
      <c r="AA11" s="2127"/>
      <c r="AB11" s="2127"/>
      <c r="AC11" s="319"/>
      <c r="AD11" s="321"/>
      <c r="AE11" s="422" t="s">
        <v>466</v>
      </c>
      <c r="AF11" s="1400"/>
      <c r="AG11" s="1400"/>
      <c r="AH11" s="1400"/>
      <c r="AI11" s="1400"/>
      <c r="AJ11" s="1400"/>
      <c r="AK11" s="1400"/>
      <c r="AL11" s="1400"/>
      <c r="AM11" s="1400"/>
      <c r="AN11" s="1400"/>
      <c r="AO11" s="1401" t="str">
        <f>AP8&amp;"-"&amp;AR8</f>
        <v>-</v>
      </c>
      <c r="AP11" s="1400"/>
      <c r="AQ11" s="1400"/>
      <c r="AR11" s="1400"/>
      <c r="AS11" s="1400"/>
      <c r="AT11" s="1356"/>
      <c r="AU11" s="2274"/>
      <c r="AW11" s="507"/>
      <c r="AX11" s="507" t="str">
        <f>IF(T11="","",T11)</f>
        <v/>
      </c>
      <c r="AY11" s="507"/>
      <c r="AZ11" s="507"/>
      <c r="BA11" s="1162">
        <v>0</v>
      </c>
    </row>
    <row customHeight="1" ht="11.25" hidden="1">
      <c r="A12" s="1370"/>
      <c r="B12" s="1370"/>
      <c r="C12" s="1370"/>
      <c r="D12" s="1370"/>
      <c r="E12" s="2279"/>
      <c r="F12" s="2279"/>
      <c r="G12" s="2279"/>
      <c r="H12" s="2279"/>
      <c r="I12" s="2306"/>
      <c r="J12" s="2276"/>
      <c r="K12" s="1370"/>
      <c r="L12" s="1371"/>
      <c r="P12" s="2277"/>
      <c r="Q12" s="2277"/>
      <c r="R12" s="363"/>
      <c r="S12" s="1285"/>
      <c r="T12" s="294" t="s">
        <v>467</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75"/>
      <c r="AW12" s="507"/>
      <c r="AX12" s="507" t="str">
        <f>IF(T12="","",T12)</f>
        <v>Добавить строку</v>
      </c>
      <c r="AY12" s="507"/>
      <c r="AZ12" s="507"/>
      <c r="BA12" s="1162">
        <v>0</v>
      </c>
    </row>
    <row s="1649" customFormat="1" customHeight="1" ht="0.75" hidden="1">
      <c r="A13" s="1350"/>
      <c r="B13" s="1350"/>
      <c r="C13" s="1350"/>
      <c r="D13" s="1350"/>
      <c r="E13" s="2279"/>
      <c r="F13" s="2279"/>
      <c r="G13" s="2279"/>
      <c r="H13" s="2279"/>
      <c r="I13" s="2276"/>
      <c r="J13" s="1350"/>
      <c r="K13" s="1350"/>
      <c r="L13" s="1353"/>
      <c r="M13" s="517"/>
      <c r="N13" s="517"/>
      <c r="O13" s="517"/>
      <c r="P13" s="2277"/>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79"/>
      <c r="F14" s="2279"/>
      <c r="G14" s="2279"/>
      <c r="H14" s="2278"/>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79"/>
      <c r="F15" s="2279"/>
      <c r="G15" s="2278"/>
      <c r="H15" s="1321"/>
      <c r="I15" s="1321"/>
      <c r="J15" s="1321"/>
      <c r="K15" s="1321"/>
      <c r="L15" s="1346"/>
      <c r="M15" s="1322"/>
      <c r="N15" s="1322"/>
      <c r="P15" s="1323"/>
      <c r="Q15" s="1324"/>
      <c r="R15" s="1323"/>
      <c r="S15" s="1329"/>
      <c r="T15" s="1332" t="s">
        <v>413</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79"/>
      <c r="F16" s="2278"/>
      <c r="G16" s="1321"/>
      <c r="H16" s="1321"/>
      <c r="I16" s="1321"/>
      <c r="J16" s="1321"/>
      <c r="K16" s="1321"/>
      <c r="L16" s="1346"/>
      <c r="M16" s="1328"/>
      <c r="N16" s="1328"/>
      <c r="P16" s="1323"/>
      <c r="Q16" s="1324"/>
      <c r="R16" s="1323"/>
      <c r="S16" s="1329"/>
      <c r="T16" s="1332" t="s">
        <v>414</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78"/>
      <c r="F17" s="1350"/>
      <c r="G17" s="1350"/>
      <c r="H17" s="1350"/>
      <c r="I17" s="1350"/>
      <c r="J17" s="1350"/>
      <c r="K17" s="1350"/>
      <c r="L17" s="1353"/>
      <c r="M17" s="1328"/>
      <c r="N17" s="1328"/>
      <c r="O17" s="525"/>
      <c r="P17" s="387"/>
      <c r="Q17" s="1351"/>
      <c r="R17" s="387"/>
      <c r="S17" s="1329"/>
      <c r="T17" s="1332" t="s">
        <v>415</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2"/>
      <c r="AQ19" s="1467" t="s">
        <v>61</v>
      </c>
      <c r="AR19" s="1742"/>
      <c r="AS19" s="1467" t="s">
        <v>61</v>
      </c>
      <c r="BA19" s="1162">
        <v>0</v>
      </c>
    </row>
    <row customHeight="1" ht="14.25" hidden="1">
      <c r="AV20" s="503"/>
      <c r="AW20" s="503"/>
      <c r="AX20" s="503"/>
      <c r="AY20" s="503"/>
      <c r="AZ20" s="503"/>
      <c r="BA20" s="1162">
        <v>0</v>
      </c>
    </row>
    <row customHeight="1" ht="14.25" hidden="1">
      <c r="O21" s="1374" t="s">
        <v>416</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417</v>
      </c>
      <c r="P23" s="1515"/>
      <c r="Q23" s="1517"/>
      <c r="R23" s="1517"/>
      <c r="Y23" s="1514" t="s">
        <v>419</v>
      </c>
      <c r="AA23" s="1514" t="s">
        <v>420</v>
      </c>
      <c r="AB23" s="1514" t="s">
        <v>468</v>
      </c>
      <c r="AE23" s="1514" t="s">
        <v>469</v>
      </c>
      <c r="AF23" s="1514" t="s">
        <v>468</v>
      </c>
      <c r="AI23" s="1514" t="s">
        <v>470</v>
      </c>
      <c r="AJ23" s="1514" t="s">
        <v>468</v>
      </c>
      <c r="AM23" s="1514" t="s">
        <v>471</v>
      </c>
      <c r="AQ23" s="1514" t="s">
        <v>419</v>
      </c>
      <c r="AS23" s="1514" t="s">
        <v>420</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8"/>
      <c r="U27" s="2268"/>
      <c r="V27" s="2268"/>
      <c r="W27" s="2268"/>
      <c r="X27" s="2268"/>
      <c r="Y27" s="2268"/>
      <c r="Z27" s="2268"/>
      <c r="AA27" s="2268"/>
      <c r="AB27" s="2268"/>
      <c r="AC27" s="2268"/>
      <c r="AD27" s="2268"/>
      <c r="AE27" s="2268"/>
      <c r="AF27" s="2268"/>
      <c r="AG27" s="2268"/>
      <c r="AH27" s="2268"/>
      <c r="AI27" s="2268"/>
      <c r="AJ27" s="2268"/>
      <c r="AK27" s="2268"/>
      <c r="AL27" s="2268"/>
      <c r="AM27" s="2268"/>
      <c r="AN27" s="2268"/>
      <c r="AO27" s="2268"/>
      <c r="AP27" s="2268"/>
      <c r="AQ27" s="2268"/>
      <c r="AR27" s="2268"/>
      <c r="AS27" s="1250"/>
      <c r="BA27" s="1162">
        <v>26</v>
      </c>
    </row>
    <row customHeight="1" ht="14.699999999999998">
      <c r="Q28" s="298"/>
      <c r="R28" s="383"/>
      <c r="S28" s="2269" t="str">
        <f>IF(org=0,"Не определено",org)</f>
        <v>ИМУП «ПОСЖИЛКОМСЕРВИС»</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57" customFormat="1" customHeight="1" ht="25.5" hidden="1">
      <c r="A30" s="1375"/>
      <c r="B30" s="1375"/>
      <c r="C30" s="1375"/>
      <c r="D30" s="1375"/>
      <c r="E30" s="1375"/>
      <c r="F30" s="1375"/>
      <c r="G30" s="1375"/>
      <c r="H30" s="1375"/>
      <c r="I30" s="1375"/>
      <c r="J30" s="1375"/>
      <c r="K30" s="1375"/>
      <c r="L30" s="1376"/>
      <c r="M30" s="1375"/>
      <c r="N30" s="1375"/>
      <c r="O30" s="1375"/>
      <c r="P30" s="1375"/>
      <c r="Q30" s="1375"/>
      <c r="S30" s="2270" t="s">
        <v>41</v>
      </c>
      <c r="T30" s="2270"/>
      <c r="U30" s="1379"/>
      <c r="V30" s="2271" t="str">
        <f>IF(TITLE_NAME_OR_PR_CHANGE="",IF(TITLE_NAME_OR_PR="","",TITLE_NAME_OR_PR),TITLE_NAME_OR_PR_CHANGE)</f>
        <v/>
      </c>
      <c r="W30" s="2271"/>
      <c r="X30" s="2271"/>
      <c r="Y30" s="2271"/>
      <c r="Z30" s="2271"/>
      <c r="AA30" s="333"/>
      <c r="AB30" s="2271" t="str">
        <f>IF(TITLE_NAME_OR_PR_CHANGE="",IF(TITLE_NAME_OR_PR="","",TITLE_NAME_OR_PR),TITLE_NAME_OR_PR_CHANGE)</f>
        <v/>
      </c>
      <c r="AC30" s="2271"/>
      <c r="AD30" s="2271"/>
      <c r="AE30" s="2271"/>
      <c r="AF30" s="2271"/>
      <c r="AG30" s="2271"/>
      <c r="AH30" s="2271"/>
      <c r="AI30" s="2271"/>
      <c r="AJ30" s="2271"/>
      <c r="AK30" s="2271"/>
      <c r="AL30" s="2271"/>
      <c r="AM30" s="2271"/>
      <c r="AN30" s="2271"/>
      <c r="AO30" s="2271"/>
      <c r="AP30" s="2271"/>
      <c r="AQ30" s="2271"/>
      <c r="AR30" s="2271"/>
      <c r="AS30" s="333"/>
      <c r="AT30" s="333"/>
      <c r="AU30" s="287"/>
      <c r="AV30" s="375"/>
      <c r="AW30" s="375"/>
      <c r="AX30" s="375"/>
      <c r="AY30" s="375"/>
      <c r="AZ30" s="375"/>
      <c r="BA30" s="425">
        <v>0</v>
      </c>
    </row>
    <row s="1857" customFormat="1" customHeight="1" ht="18.75" hidden="1">
      <c r="A31" s="1375"/>
      <c r="B31" s="1375"/>
      <c r="C31" s="1375"/>
      <c r="D31" s="1375"/>
      <c r="E31" s="1375"/>
      <c r="F31" s="1375"/>
      <c r="G31" s="1375"/>
      <c r="H31" s="1375"/>
      <c r="I31" s="1375"/>
      <c r="J31" s="1375"/>
      <c r="K31" s="1375"/>
      <c r="L31" s="1376"/>
      <c r="M31" s="1375"/>
      <c r="N31" s="1375"/>
      <c r="O31" s="1375"/>
      <c r="P31" s="1375"/>
      <c r="Q31" s="1375"/>
      <c r="S31" s="2270" t="s">
        <v>422</v>
      </c>
      <c r="T31" s="2270"/>
      <c r="U31" s="1379"/>
      <c r="V31" s="2284" t="str">
        <f>IF(TITLE_DATE_PR_CHANGE="",IF(TITLE_DATE_PR="","",TITLE_DATE_PR),TITLE_DATE_PR_CHANGE)</f>
        <v/>
      </c>
      <c r="W31" s="2284"/>
      <c r="X31" s="2284"/>
      <c r="Y31" s="2284"/>
      <c r="Z31" s="2284"/>
      <c r="AA31" s="333"/>
      <c r="AB31" s="2284" t="str">
        <f>IF(TITLE_DATE_PR_CHANGE="",IF(TITLE_DATE_PR="","",TITLE_DATE_PR),TITLE_DATE_PR_CHANGE)</f>
        <v/>
      </c>
      <c r="AC31" s="2284"/>
      <c r="AD31" s="2284"/>
      <c r="AE31" s="2284"/>
      <c r="AF31" s="2284"/>
      <c r="AG31" s="2284"/>
      <c r="AH31" s="2284"/>
      <c r="AI31" s="2284"/>
      <c r="AJ31" s="2284"/>
      <c r="AK31" s="2284"/>
      <c r="AL31" s="2284"/>
      <c r="AM31" s="2284"/>
      <c r="AN31" s="2284"/>
      <c r="AO31" s="2284"/>
      <c r="AP31" s="2284"/>
      <c r="AQ31" s="2284"/>
      <c r="AR31" s="2284"/>
      <c r="AS31" s="333"/>
      <c r="AT31" s="333"/>
      <c r="AU31" s="287"/>
      <c r="AV31" s="375"/>
      <c r="AW31" s="375"/>
      <c r="AX31" s="375"/>
      <c r="AY31" s="375"/>
      <c r="AZ31" s="375"/>
      <c r="BA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0" t="s">
        <v>423</v>
      </c>
      <c r="T32" s="2270"/>
      <c r="U32" s="1379"/>
      <c r="V32" s="2271" t="str">
        <f>IF(TITLE_NUMBER_PR_CHANGE="",IF(TITLE_NUMBER_PR="","",TITLE_NUMBER_PR),TITLE_NUMBER_PR_CHANGE)</f>
        <v/>
      </c>
      <c r="W32" s="2271"/>
      <c r="X32" s="2271"/>
      <c r="Y32" s="2271"/>
      <c r="Z32" s="2271"/>
      <c r="AA32" s="333"/>
      <c r="AB32" s="2271" t="str">
        <f>IF(TITLE_NUMBER_PR_CHANGE="",IF(TITLE_NUMBER_PR="","",TITLE_NUMBER_PR),TITLE_NUMBER_PR_CHANGE)</f>
        <v/>
      </c>
      <c r="AC32" s="2271"/>
      <c r="AD32" s="2271"/>
      <c r="AE32" s="2271"/>
      <c r="AF32" s="2271"/>
      <c r="AG32" s="2271"/>
      <c r="AH32" s="2271"/>
      <c r="AI32" s="2271"/>
      <c r="AJ32" s="2271"/>
      <c r="AK32" s="2271"/>
      <c r="AL32" s="2271"/>
      <c r="AM32" s="2271"/>
      <c r="AN32" s="2271"/>
      <c r="AO32" s="2271"/>
      <c r="AP32" s="2271"/>
      <c r="AQ32" s="2271"/>
      <c r="AR32" s="2271"/>
      <c r="AS32" s="333"/>
      <c r="AT32" s="333"/>
      <c r="AU32" s="287"/>
      <c r="AV32" s="375"/>
      <c r="AW32" s="375"/>
      <c r="AX32" s="375"/>
      <c r="AY32" s="375"/>
      <c r="AZ32" s="375"/>
      <c r="BA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0" t="s">
        <v>42</v>
      </c>
      <c r="T33" s="2270"/>
      <c r="U33" s="1379"/>
      <c r="V33" s="2271" t="str">
        <f>IF(TITLE_IST_PUB_CHANGE="",IF(TITLE_IST_PUB="","",TITLE_IST_PUB),TITLE_IST_PUB_CHANGE)</f>
        <v/>
      </c>
      <c r="W33" s="2271"/>
      <c r="X33" s="2271"/>
      <c r="Y33" s="2271"/>
      <c r="Z33" s="2271"/>
      <c r="AA33" s="333"/>
      <c r="AB33" s="2271" t="str">
        <f>IF(TITLE_IST_PUB_CHANGE="",IF(TITLE_IST_PUB="","",TITLE_IST_PUB),TITLE_IST_PUB_CHANGE)</f>
        <v/>
      </c>
      <c r="AC33" s="2271"/>
      <c r="AD33" s="2271"/>
      <c r="AE33" s="2271"/>
      <c r="AF33" s="2271"/>
      <c r="AG33" s="2271"/>
      <c r="AH33" s="2271"/>
      <c r="AI33" s="2271"/>
      <c r="AJ33" s="2271"/>
      <c r="AK33" s="2271"/>
      <c r="AL33" s="2271"/>
      <c r="AM33" s="2271"/>
      <c r="AN33" s="2271"/>
      <c r="AO33" s="2271"/>
      <c r="AP33" s="2271"/>
      <c r="AQ33" s="2271"/>
      <c r="AR33" s="2271"/>
      <c r="AS33" s="333"/>
      <c r="AT33" s="333"/>
      <c r="AU33" s="287"/>
      <c r="AV33" s="375"/>
      <c r="AW33" s="375"/>
      <c r="AX33" s="375"/>
      <c r="AY33" s="375"/>
      <c r="AZ33" s="375"/>
      <c r="BA33" s="425">
        <v>0</v>
      </c>
    </row>
    <row customHeight="1" ht="14.25" hidden="1">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57" customFormat="1" customHeight="1" ht="18.75" hidden="1">
      <c r="A35" s="1375"/>
      <c r="B35" s="1375"/>
      <c r="C35" s="1375"/>
      <c r="D35" s="1375"/>
      <c r="E35" s="1375"/>
      <c r="F35" s="1375"/>
      <c r="G35" s="1375"/>
      <c r="H35" s="1375"/>
      <c r="I35" s="1375"/>
      <c r="J35" s="1375"/>
      <c r="K35" s="1375"/>
      <c r="L35" s="1376"/>
      <c r="M35" s="1375"/>
      <c r="N35" s="1375"/>
      <c r="O35" s="1375"/>
      <c r="P35" s="1375"/>
      <c r="Q35" s="1375"/>
      <c r="S35" s="2270" t="s">
        <v>422</v>
      </c>
      <c r="T35" s="2270"/>
      <c r="U35" s="1379"/>
      <c r="V35" s="2284" t="str">
        <f>IF(TITLE_DATE_PR_CHANGE="",IF(TITLE_DATE_PR="","",TITLE_DATE_PR),TITLE_DATE_PR_CHANGE)</f>
        <v/>
      </c>
      <c r="W35" s="2284"/>
      <c r="X35" s="2284"/>
      <c r="Y35" s="2284"/>
      <c r="Z35" s="2284"/>
      <c r="AA35" s="333"/>
      <c r="AB35" s="2284" t="str">
        <f>IF(TITLE_DATE_PR_CHANGE="",IF(TITLE_DATE_PR="","",TITLE_DATE_PR),TITLE_DATE_PR_CHANGE)</f>
        <v/>
      </c>
      <c r="AC35" s="2284"/>
      <c r="AD35" s="2284"/>
      <c r="AE35" s="2284"/>
      <c r="AF35" s="2284"/>
      <c r="AG35" s="2284"/>
      <c r="AH35" s="2284"/>
      <c r="AI35" s="2284"/>
      <c r="AJ35" s="2284"/>
      <c r="AK35" s="2284"/>
      <c r="AL35" s="2284"/>
      <c r="AM35" s="2284"/>
      <c r="AN35" s="2284"/>
      <c r="AO35" s="2284"/>
      <c r="AP35" s="2284"/>
      <c r="AQ35" s="2284"/>
      <c r="AR35" s="2284"/>
      <c r="AS35" s="333"/>
      <c r="AT35" s="333"/>
      <c r="AU35" s="287"/>
      <c r="AV35" s="375"/>
      <c r="AW35" s="375"/>
      <c r="AX35" s="375"/>
      <c r="AY35" s="375"/>
      <c r="AZ35" s="375"/>
      <c r="BA35" s="425">
        <v>0</v>
      </c>
    </row>
    <row s="1857" customFormat="1" customHeight="1" ht="18" hidden="1">
      <c r="A36" s="1375"/>
      <c r="B36" s="1375"/>
      <c r="C36" s="1375"/>
      <c r="D36" s="1375"/>
      <c r="E36" s="1375"/>
      <c r="F36" s="1375"/>
      <c r="G36" s="1375"/>
      <c r="H36" s="1375"/>
      <c r="I36" s="1375"/>
      <c r="J36" s="1375"/>
      <c r="K36" s="1375"/>
      <c r="L36" s="1376"/>
      <c r="M36" s="1375"/>
      <c r="N36" s="1375"/>
      <c r="O36" s="1375"/>
      <c r="P36" s="1375"/>
      <c r="Q36" s="1375"/>
      <c r="S36" s="2270" t="s">
        <v>423</v>
      </c>
      <c r="T36" s="2270"/>
      <c r="U36" s="1379"/>
      <c r="V36" s="2271" t="str">
        <f>IF(TITLE_NUMBER_PR_CHANGE="",IF(TITLE_NUMBER_PR="","",TITLE_NUMBER_PR),TITLE_NUMBER_PR_CHANGE)</f>
        <v/>
      </c>
      <c r="W36" s="2271"/>
      <c r="X36" s="2271"/>
      <c r="Y36" s="2271"/>
      <c r="Z36" s="2271"/>
      <c r="AA36" s="333"/>
      <c r="AB36" s="2271" t="str">
        <f>IF(TITLE_NUMBER_PR_CHANGE="",IF(TITLE_NUMBER_PR="","",TITLE_NUMBER_PR),TITLE_NUMBER_PR_CHANGE)</f>
        <v/>
      </c>
      <c r="AC36" s="2271"/>
      <c r="AD36" s="2271"/>
      <c r="AE36" s="2271"/>
      <c r="AF36" s="2271"/>
      <c r="AG36" s="2271"/>
      <c r="AH36" s="2271"/>
      <c r="AI36" s="2271"/>
      <c r="AJ36" s="2271"/>
      <c r="AK36" s="2271"/>
      <c r="AL36" s="2271"/>
      <c r="AM36" s="2271"/>
      <c r="AN36" s="2271"/>
      <c r="AO36" s="2271"/>
      <c r="AP36" s="2271"/>
      <c r="AQ36" s="2271"/>
      <c r="AR36" s="2271"/>
      <c r="AS36" s="333"/>
      <c r="AT36" s="333"/>
      <c r="AU36" s="287"/>
      <c r="AV36" s="375"/>
      <c r="AW36" s="375"/>
      <c r="AX36" s="375"/>
      <c r="AY36" s="375"/>
      <c r="AZ36" s="375"/>
      <c r="BA36" s="425">
        <v>0</v>
      </c>
    </row>
    <row s="1857"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426</v>
      </c>
      <c r="AB37" s="333"/>
      <c r="AC37" s="333"/>
      <c r="AD37" s="333"/>
      <c r="AE37" s="333"/>
      <c r="AF37" s="333"/>
      <c r="AG37" s="333"/>
      <c r="AH37" s="333"/>
      <c r="AI37" s="333"/>
      <c r="AJ37" s="333"/>
      <c r="AK37" s="333"/>
      <c r="AL37" s="333"/>
      <c r="AM37" s="333"/>
      <c r="AN37" s="333"/>
      <c r="AO37" s="333"/>
      <c r="AP37" s="333"/>
      <c r="AQ37" s="333"/>
      <c r="AR37" s="333"/>
      <c r="AS37" s="285" t="s">
        <v>426</v>
      </c>
      <c r="AV37" s="375"/>
      <c r="AW37" s="375"/>
      <c r="AX37" s="375"/>
      <c r="AY37" s="375"/>
      <c r="AZ37" s="375"/>
      <c r="BA37" s="425">
        <v>1</v>
      </c>
    </row>
    <row customHeight="1" ht="14.699999999999998">
      <c r="Q38" s="298"/>
      <c r="R38" s="383"/>
      <c r="S38" s="1282"/>
      <c r="T38" s="370"/>
      <c r="U38" s="1251"/>
      <c r="V38" s="2272"/>
      <c r="W38" s="2272"/>
      <c r="X38" s="2272"/>
      <c r="Y38" s="2272"/>
      <c r="Z38" s="2272"/>
      <c r="AA38" s="2272"/>
      <c r="AB38" s="2272"/>
      <c r="AC38" s="2272"/>
      <c r="AD38" s="2272"/>
      <c r="AE38" s="2272"/>
      <c r="AF38" s="2272"/>
      <c r="AG38" s="2272"/>
      <c r="AH38" s="2272"/>
      <c r="AI38" s="2272"/>
      <c r="AJ38" s="2272"/>
      <c r="AK38" s="2272"/>
      <c r="AL38" s="2272"/>
      <c r="AM38" s="2272"/>
      <c r="AN38" s="2272"/>
      <c r="AO38" s="2272"/>
      <c r="AP38" s="2272"/>
      <c r="AQ38" s="2272"/>
      <c r="AR38" s="2272"/>
      <c r="AS38" s="2272"/>
      <c r="BA38" s="1162">
        <v>14</v>
      </c>
    </row>
    <row customHeight="1" ht="14.699999999999998">
      <c r="Q39" s="298"/>
      <c r="R39" s="383"/>
      <c r="S39" s="2147" t="s">
        <v>299</v>
      </c>
      <c r="T39" s="2147"/>
      <c r="U39" s="2147"/>
      <c r="V39" s="2147"/>
      <c r="W39" s="2147"/>
      <c r="X39" s="2147"/>
      <c r="Y39" s="2147"/>
      <c r="Z39" s="2147"/>
      <c r="AA39" s="2147"/>
      <c r="AB39" s="2195"/>
      <c r="AC39" s="2195"/>
      <c r="AD39" s="2195"/>
      <c r="AE39" s="2195"/>
      <c r="AF39" s="2147"/>
      <c r="AG39" s="2147"/>
      <c r="AH39" s="2147"/>
      <c r="AI39" s="2147"/>
      <c r="AJ39" s="2147"/>
      <c r="AK39" s="2147"/>
      <c r="AL39" s="2147"/>
      <c r="AM39" s="2147"/>
      <c r="AN39" s="2147"/>
      <c r="AO39" s="2147"/>
      <c r="AP39" s="2147"/>
      <c r="AQ39" s="2147"/>
      <c r="AR39" s="2147"/>
      <c r="AS39" s="2147"/>
      <c r="AT39" s="2147"/>
      <c r="AU39" s="2147" t="s">
        <v>300</v>
      </c>
      <c r="BA39" s="1162">
        <v>14</v>
      </c>
    </row>
    <row customHeight="1" ht="14.699999999999998">
      <c r="Q40" s="298"/>
      <c r="R40" s="383"/>
      <c r="S40" s="2293" t="s">
        <v>87</v>
      </c>
      <c r="T40" s="2229" t="s">
        <v>472</v>
      </c>
      <c r="U40" s="308"/>
      <c r="V40" s="2295"/>
      <c r="W40" s="2295"/>
      <c r="X40" s="2295"/>
      <c r="Y40" s="2295"/>
      <c r="Z40" s="2296"/>
      <c r="AA40" s="2356" t="s">
        <v>429</v>
      </c>
      <c r="AB40" s="2348" t="s">
        <v>473</v>
      </c>
      <c r="AC40" s="2311"/>
      <c r="AD40" s="2311"/>
      <c r="AE40" s="2349"/>
      <c r="AF40" s="2311" t="s">
        <v>474</v>
      </c>
      <c r="AG40" s="2311"/>
      <c r="AH40" s="2311"/>
      <c r="AI40" s="2349"/>
      <c r="AJ40" s="2348" t="s">
        <v>475</v>
      </c>
      <c r="AK40" s="2311"/>
      <c r="AL40" s="2311"/>
      <c r="AM40" s="2349"/>
      <c r="AN40" s="2348" t="s">
        <v>428</v>
      </c>
      <c r="AO40" s="2311"/>
      <c r="AP40" s="2295"/>
      <c r="AQ40" s="2295"/>
      <c r="AR40" s="2296"/>
      <c r="AS40" s="2297" t="s">
        <v>429</v>
      </c>
      <c r="AT40" s="2300" t="s">
        <v>431</v>
      </c>
      <c r="AU40" s="2147"/>
      <c r="BA40" s="1162">
        <v>14</v>
      </c>
    </row>
    <row customHeight="1" ht="35.699999999999996">
      <c r="Q41" s="298"/>
      <c r="R41" s="383"/>
      <c r="S41" s="2293"/>
      <c r="T41" s="2229"/>
      <c r="U41" s="1038"/>
      <c r="V41" s="2147" t="s">
        <v>476</v>
      </c>
      <c r="W41" s="2147"/>
      <c r="X41" s="2314" t="s">
        <v>435</v>
      </c>
      <c r="Y41" s="2333"/>
      <c r="Z41" s="2334"/>
      <c r="AA41" s="2357"/>
      <c r="AB41" s="2350"/>
      <c r="AC41" s="2351"/>
      <c r="AD41" s="2351"/>
      <c r="AE41" s="2352"/>
      <c r="AF41" s="2351"/>
      <c r="AG41" s="2351"/>
      <c r="AH41" s="2351"/>
      <c r="AI41" s="2352"/>
      <c r="AJ41" s="2350"/>
      <c r="AK41" s="2351"/>
      <c r="AL41" s="2351"/>
      <c r="AM41" s="2351"/>
      <c r="AN41" s="2147" t="s">
        <v>476</v>
      </c>
      <c r="AO41" s="2147"/>
      <c r="AP41" s="2333" t="s">
        <v>435</v>
      </c>
      <c r="AQ41" s="2333"/>
      <c r="AR41" s="2334"/>
      <c r="AS41" s="2298"/>
      <c r="AT41" s="2301"/>
      <c r="AU41" s="2147"/>
      <c r="BA41" s="1162">
        <v>34</v>
      </c>
    </row>
    <row customHeight="1" ht="14.699999999999998">
      <c r="Q42" s="298"/>
      <c r="R42" s="383"/>
      <c r="S42" s="2293"/>
      <c r="T42" s="2229"/>
      <c r="U42" s="1038"/>
      <c r="V42" s="2360" t="str">
        <f>IF($AN$42&lt;&gt;"",$AN$42,"")</f>
        <v/>
      </c>
      <c r="W42" s="2360"/>
      <c r="X42" s="2315"/>
      <c r="Y42" s="2335"/>
      <c r="Z42" s="2336"/>
      <c r="AA42" s="2357"/>
      <c r="AB42" s="2350"/>
      <c r="AC42" s="2351"/>
      <c r="AD42" s="2351"/>
      <c r="AE42" s="2352"/>
      <c r="AF42" s="2351"/>
      <c r="AG42" s="2351"/>
      <c r="AH42" s="2351"/>
      <c r="AI42" s="2352"/>
      <c r="AJ42" s="2350"/>
      <c r="AK42" s="2351"/>
      <c r="AL42" s="2351"/>
      <c r="AM42" s="2351"/>
      <c r="AN42" s="2359"/>
      <c r="AO42" s="2359"/>
      <c r="AP42" s="2335"/>
      <c r="AQ42" s="2335"/>
      <c r="AR42" s="2336"/>
      <c r="AS42" s="2298"/>
      <c r="AT42" s="2301"/>
      <c r="AU42" s="2147"/>
      <c r="BA42" s="1162">
        <v>14</v>
      </c>
    </row>
    <row customHeight="1" ht="14.699999999999998">
      <c r="A43" s="1377"/>
      <c r="B43" s="1377" t="s">
        <v>136</v>
      </c>
      <c r="C43" s="1377" t="s">
        <v>137</v>
      </c>
      <c r="D43" s="1377" t="s">
        <v>138</v>
      </c>
      <c r="E43" s="1371" t="s">
        <v>436</v>
      </c>
      <c r="F43" s="1371" t="s">
        <v>437</v>
      </c>
      <c r="G43" s="1371" t="s">
        <v>438</v>
      </c>
      <c r="H43" s="1371" t="s">
        <v>439</v>
      </c>
      <c r="I43" s="1371" t="s">
        <v>440</v>
      </c>
      <c r="J43" s="1371" t="s">
        <v>441</v>
      </c>
      <c r="K43" s="1371" t="s">
        <v>442</v>
      </c>
      <c r="L43" s="1371" t="s">
        <v>417</v>
      </c>
      <c r="Q43" s="298"/>
      <c r="R43" s="383"/>
      <c r="S43" s="2293"/>
      <c r="T43" s="2229"/>
      <c r="U43" s="309"/>
      <c r="V43" s="1337" t="s">
        <v>477</v>
      </c>
      <c r="W43" s="1337" t="s">
        <v>478</v>
      </c>
      <c r="X43" s="1345" t="s">
        <v>445</v>
      </c>
      <c r="Y43" s="2290" t="s">
        <v>446</v>
      </c>
      <c r="Z43" s="2291"/>
      <c r="AA43" s="2358"/>
      <c r="AB43" s="2353"/>
      <c r="AC43" s="2354"/>
      <c r="AD43" s="2354"/>
      <c r="AE43" s="2355"/>
      <c r="AF43" s="2354"/>
      <c r="AG43" s="2354"/>
      <c r="AH43" s="2354"/>
      <c r="AI43" s="2355"/>
      <c r="AJ43" s="2353"/>
      <c r="AK43" s="2354"/>
      <c r="AL43" s="2354"/>
      <c r="AM43" s="2355"/>
      <c r="AN43" s="1864" t="s">
        <v>477</v>
      </c>
      <c r="AO43" s="1864" t="s">
        <v>478</v>
      </c>
      <c r="AP43" s="1345" t="s">
        <v>445</v>
      </c>
      <c r="AQ43" s="2290" t="s">
        <v>446</v>
      </c>
      <c r="AR43" s="2291"/>
      <c r="AS43" s="2299"/>
      <c r="AT43" s="2302"/>
      <c r="AU43" s="2147"/>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109</v>
      </c>
      <c r="T44" s="1262" t="s">
        <v>110</v>
      </c>
      <c r="U44" s="1252" t="str">
        <f>OFFSET(U44,0,-1)</f>
        <v>2</v>
      </c>
      <c r="V44" s="1342">
        <f>OFFSET(V44,0,-1)+1</f>
        <v>3</v>
      </c>
      <c r="W44" s="1342">
        <f>OFFSET(W44,0,-1)+1</f>
        <v>4</v>
      </c>
      <c r="X44" s="1342">
        <f>OFFSET(X44,0,-1)+1</f>
        <v>5</v>
      </c>
      <c r="Y44" s="2292">
        <f>OFFSET(Y44,0,-1)+1</f>
        <v>6</v>
      </c>
      <c r="Z44" s="2292"/>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92">
        <f>OFFSET(AQ44,0,-1)+1</f>
        <v>4</v>
      </c>
      <c r="AR44" s="2292"/>
      <c r="AS44" s="1342">
        <f>OFFSET(AS44,0,-2)+1</f>
        <v>5</v>
      </c>
      <c r="AT44" s="1252">
        <f>OFFSET(AT44,0,-1)</f>
        <v>5</v>
      </c>
      <c r="AU44" s="1342">
        <f>OFFSET(AU44,0,-1)+1</f>
        <v>6</v>
      </c>
      <c r="AV44" s="518"/>
      <c r="AW44" s="518"/>
      <c r="AX44" s="518"/>
      <c r="AY44" s="518"/>
      <c r="AZ44" s="518"/>
      <c r="BA44" s="503">
        <v>0</v>
      </c>
    </row>
    <row customHeight="1" ht="107.25">
      <c r="A45" s="1370" t="s">
        <v>199</v>
      </c>
      <c r="B45" s="1370"/>
      <c r="C45" s="1370"/>
      <c r="D45" s="1370"/>
      <c r="E45" s="2278">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124</v>
      </c>
      <c r="U45" s="307"/>
      <c r="V45" s="2263"/>
      <c r="W45" s="2263"/>
      <c r="X45" s="2263"/>
      <c r="Y45" s="2263"/>
      <c r="Z45" s="2263"/>
      <c r="AA45" s="2264"/>
      <c r="AB45" s="2262" t="str">
        <f>INDEX(PT_DIFFERENTIATION_NTAR,MATCH(A45,PT_DIFFERENTIATION_NTAR_ID,0))</f>
        <v/>
      </c>
      <c r="AC45" s="2263"/>
      <c r="AD45" s="2263"/>
      <c r="AE45" s="2263"/>
      <c r="AF45" s="2263"/>
      <c r="AG45" s="2263"/>
      <c r="AH45" s="2263"/>
      <c r="AI45" s="2263"/>
      <c r="AJ45" s="2263"/>
      <c r="AK45" s="2263"/>
      <c r="AL45" s="2263"/>
      <c r="AM45" s="2263"/>
      <c r="AN45" s="2263"/>
      <c r="AO45" s="2263"/>
      <c r="AP45" s="2263"/>
      <c r="AQ45" s="2263"/>
      <c r="AR45" s="2263"/>
      <c r="AS45" s="2263"/>
      <c r="AT45" s="2264"/>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199</v>
      </c>
      <c r="B46" s="1370" t="s">
        <v>200</v>
      </c>
      <c r="C46" s="1370"/>
      <c r="D46" s="1370"/>
      <c r="E46" s="2279"/>
      <c r="F46" s="2278">
        <v>1</v>
      </c>
      <c r="G46" s="1370"/>
      <c r="H46" s="1370"/>
      <c r="I46" s="1370"/>
      <c r="J46" s="1370"/>
      <c r="K46" s="1370"/>
      <c r="L46" s="1371"/>
      <c r="M46" s="1372"/>
      <c r="N46" s="1372"/>
      <c r="O46" s="1372"/>
      <c r="P46" s="1417"/>
      <c r="Q46" s="1418"/>
      <c r="R46" s="360"/>
      <c r="S46" s="1343" t="str">
        <f>INDEX(PT_DIFFERENTIATION_NUM_TER,MATCH(B46,PT_DIFFERENTIATION_TER_ID,0))</f>
        <v>.</v>
      </c>
      <c r="T46" s="315" t="s">
        <v>396</v>
      </c>
      <c r="U46" s="307"/>
      <c r="V46" s="2263"/>
      <c r="W46" s="2263"/>
      <c r="X46" s="2263"/>
      <c r="Y46" s="2263"/>
      <c r="Z46" s="2263"/>
      <c r="AA46" s="2264"/>
      <c r="AB46" s="2262" t="str">
        <f>INDEX(PT_DIFFERENTIATION_TER,MATCH(B46,PT_DIFFERENTIATION_TER_ID,0))</f>
        <v/>
      </c>
      <c r="AC46" s="2263"/>
      <c r="AD46" s="2263"/>
      <c r="AE46" s="2263"/>
      <c r="AF46" s="2263"/>
      <c r="AG46" s="2263"/>
      <c r="AH46" s="2263"/>
      <c r="AI46" s="2263"/>
      <c r="AJ46" s="2263"/>
      <c r="AK46" s="2263"/>
      <c r="AL46" s="2263"/>
      <c r="AM46" s="2263"/>
      <c r="AN46" s="2263"/>
      <c r="AO46" s="2263"/>
      <c r="AP46" s="2263"/>
      <c r="AQ46" s="2263"/>
      <c r="AR46" s="2263"/>
      <c r="AS46" s="2263"/>
      <c r="AT46" s="2264"/>
      <c r="AU46" s="1265" t="s">
        <v>397</v>
      </c>
      <c r="AW46" s="507"/>
      <c r="AX46" s="507" t="str">
        <f>IF(T46="","",T46)</f>
        <v>Территория действия тарифа</v>
      </c>
      <c r="AY46" s="507"/>
      <c r="AZ46" s="507"/>
      <c r="BA46" s="1162">
        <v>21</v>
      </c>
    </row>
    <row customHeight="1" ht="24">
      <c r="A47" s="1370" t="s">
        <v>199</v>
      </c>
      <c r="B47" s="1370" t="s">
        <v>200</v>
      </c>
      <c r="C47" s="1370" t="s">
        <v>201</v>
      </c>
      <c r="D47" s="1370"/>
      <c r="E47" s="2279"/>
      <c r="F47" s="2279"/>
      <c r="G47" s="2278">
        <v>1</v>
      </c>
      <c r="H47" s="1370"/>
      <c r="I47" s="1370"/>
      <c r="J47" s="1370"/>
      <c r="K47" s="1370"/>
      <c r="L47" s="1371"/>
      <c r="M47" s="1372"/>
      <c r="N47" s="1372"/>
      <c r="O47" s="1372"/>
      <c r="P47" s="1419"/>
      <c r="Q47" s="1418"/>
      <c r="R47" s="360"/>
      <c r="S47" s="1343" t="str">
        <f>INDEX(PT_DIFFERENTIATION_NUM_CS,MATCH(C47,PT_DIFFERENTIATION_CS_ID,0))</f>
        <v>..</v>
      </c>
      <c r="T47" s="316" t="s">
        <v>398</v>
      </c>
      <c r="U47" s="307"/>
      <c r="V47" s="2263"/>
      <c r="W47" s="2263"/>
      <c r="X47" s="2263"/>
      <c r="Y47" s="2263"/>
      <c r="Z47" s="2263"/>
      <c r="AA47" s="2264"/>
      <c r="AB47" s="2262" t="str">
        <f>INDEX(PT_DIFFERENTIATION_CS,MATCH(C47,PT_DIFFERENTIATION_CS_ID,0))</f>
        <v/>
      </c>
      <c r="AC47" s="2263"/>
      <c r="AD47" s="2263"/>
      <c r="AE47" s="2263"/>
      <c r="AF47" s="2263"/>
      <c r="AG47" s="2263"/>
      <c r="AH47" s="2263"/>
      <c r="AI47" s="2263"/>
      <c r="AJ47" s="2263"/>
      <c r="AK47" s="2263"/>
      <c r="AL47" s="2263"/>
      <c r="AM47" s="2263"/>
      <c r="AN47" s="2263"/>
      <c r="AO47" s="2263"/>
      <c r="AP47" s="2263"/>
      <c r="AQ47" s="2263"/>
      <c r="AR47" s="2263"/>
      <c r="AS47" s="2263"/>
      <c r="AT47" s="2264"/>
      <c r="AU47" s="1265" t="s">
        <v>399</v>
      </c>
      <c r="AW47" s="507"/>
      <c r="AX47" s="507" t="str">
        <f>IF(T47="","",T47)</f>
        <v>Наименование системы теплоснабжения </v>
      </c>
      <c r="AY47" s="507"/>
      <c r="AZ47" s="507"/>
      <c r="BA47" s="1162">
        <v>23</v>
      </c>
    </row>
    <row customHeight="1" ht="21">
      <c r="A48" s="1370" t="s">
        <v>199</v>
      </c>
      <c r="B48" s="1370" t="s">
        <v>200</v>
      </c>
      <c r="C48" s="1370" t="s">
        <v>201</v>
      </c>
      <c r="D48" s="1370" t="s">
        <v>202</v>
      </c>
      <c r="E48" s="2279"/>
      <c r="F48" s="2279"/>
      <c r="G48" s="2279"/>
      <c r="H48" s="2278">
        <v>1</v>
      </c>
      <c r="I48" s="1370"/>
      <c r="J48" s="1370"/>
      <c r="K48" s="1370"/>
      <c r="L48" s="1371"/>
      <c r="M48" s="1372"/>
      <c r="N48" s="1372"/>
      <c r="O48" s="1372"/>
      <c r="P48" s="1419"/>
      <c r="Q48" s="1418"/>
      <c r="R48" s="360"/>
      <c r="S48" s="1343" t="str">
        <f>INDEX(PT_DIFFERENTIATION_NUM_IST_TE,MATCH(D48,PT_DIFFERENTIATION_IST_TE_ID,0))</f>
        <v>...</v>
      </c>
      <c r="T48" s="317" t="s">
        <v>400</v>
      </c>
      <c r="U48" s="307"/>
      <c r="V48" s="2263"/>
      <c r="W48" s="2263"/>
      <c r="X48" s="2263"/>
      <c r="Y48" s="2263"/>
      <c r="Z48" s="2263"/>
      <c r="AA48" s="2264"/>
      <c r="AB48" s="2262" t="str">
        <f>INDEX(PT_DIFFERENTIATION_IST_TE,MATCH(D48,PT_DIFFERENTIATION_IST_TE_ID,0))</f>
        <v/>
      </c>
      <c r="AC48" s="2263"/>
      <c r="AD48" s="2263"/>
      <c r="AE48" s="2263"/>
      <c r="AF48" s="2263"/>
      <c r="AG48" s="2263"/>
      <c r="AH48" s="2263"/>
      <c r="AI48" s="2263"/>
      <c r="AJ48" s="2263"/>
      <c r="AK48" s="2263"/>
      <c r="AL48" s="2263"/>
      <c r="AM48" s="2263"/>
      <c r="AN48" s="2263"/>
      <c r="AO48" s="2263"/>
      <c r="AP48" s="2263"/>
      <c r="AQ48" s="2263"/>
      <c r="AR48" s="2263"/>
      <c r="AS48" s="2263"/>
      <c r="AT48" s="2264"/>
      <c r="AU48" s="1265" t="s">
        <v>401</v>
      </c>
      <c r="AW48" s="507"/>
      <c r="AX48" s="507" t="str">
        <f>IF(T48="","",T48)</f>
        <v>Источник тепловой энергии  </v>
      </c>
      <c r="AY48" s="507"/>
      <c r="AZ48" s="507"/>
      <c r="BA48" s="1162">
        <v>20</v>
      </c>
    </row>
    <row s="1649" customFormat="1" customHeight="1" ht="1.05">
      <c r="A49" s="1350" t="s">
        <v>199</v>
      </c>
      <c r="B49" s="1350" t="s">
        <v>200</v>
      </c>
      <c r="C49" s="1350" t="s">
        <v>201</v>
      </c>
      <c r="D49" s="1350" t="s">
        <v>202</v>
      </c>
      <c r="E49" s="2279"/>
      <c r="F49" s="2279"/>
      <c r="G49" s="2279"/>
      <c r="H49" s="2279"/>
      <c r="I49" s="2276" t="str">
        <f>S48&amp;".1"</f>
        <v>....1</v>
      </c>
      <c r="J49" s="1350"/>
      <c r="K49" s="1350"/>
      <c r="L49" s="1353" t="s">
        <v>402</v>
      </c>
      <c r="M49" s="517"/>
      <c r="N49" s="517"/>
      <c r="O49" s="517"/>
      <c r="P49" s="2277">
        <v>1</v>
      </c>
      <c r="Q49" s="1338"/>
      <c r="R49" s="363"/>
      <c r="S49" s="1049"/>
      <c r="T49" s="1390"/>
      <c r="U49" s="1391"/>
      <c r="V49" s="2317"/>
      <c r="W49" s="2317"/>
      <c r="X49" s="2317"/>
      <c r="Y49" s="2317"/>
      <c r="Z49" s="2317"/>
      <c r="AA49" s="2318"/>
      <c r="AB49" s="2316"/>
      <c r="AC49" s="2317"/>
      <c r="AD49" s="2317"/>
      <c r="AE49" s="2317"/>
      <c r="AF49" s="2317"/>
      <c r="AG49" s="2317"/>
      <c r="AH49" s="2317"/>
      <c r="AI49" s="2317"/>
      <c r="AJ49" s="2317"/>
      <c r="AK49" s="2317"/>
      <c r="AL49" s="2317"/>
      <c r="AM49" s="2317"/>
      <c r="AN49" s="2317"/>
      <c r="AO49" s="2317"/>
      <c r="AP49" s="2317"/>
      <c r="AQ49" s="2317"/>
      <c r="AR49" s="2317"/>
      <c r="AS49" s="2317"/>
      <c r="AT49" s="2318"/>
      <c r="AU49" s="1392"/>
      <c r="AW49" s="507"/>
      <c r="AX49" s="507" t="str">
        <f>IF(T49="","",T49)</f>
        <v/>
      </c>
      <c r="AY49" s="507"/>
      <c r="AZ49" s="507"/>
      <c r="BA49" s="518">
        <v>1</v>
      </c>
    </row>
    <row s="1649" customFormat="1" customHeight="1" ht="1.05">
      <c r="A50" s="1350" t="s">
        <v>199</v>
      </c>
      <c r="B50" s="1350" t="s">
        <v>200</v>
      </c>
      <c r="C50" s="1350" t="s">
        <v>201</v>
      </c>
      <c r="D50" s="1350" t="s">
        <v>202</v>
      </c>
      <c r="E50" s="2279"/>
      <c r="F50" s="2279"/>
      <c r="G50" s="2279"/>
      <c r="H50" s="2279"/>
      <c r="I50" s="2306"/>
      <c r="J50" s="2276" t="str">
        <f>S48&amp;".1"</f>
        <v>....1</v>
      </c>
      <c r="K50" s="1350"/>
      <c r="L50" s="1353"/>
      <c r="M50" s="517"/>
      <c r="N50" s="517"/>
      <c r="O50" s="517"/>
      <c r="P50" s="2277"/>
      <c r="Q50" s="2277">
        <v>1</v>
      </c>
      <c r="R50" s="364"/>
      <c r="S50" s="1049"/>
      <c r="T50" s="1406"/>
      <c r="U50" s="1391"/>
      <c r="V50" s="2317"/>
      <c r="W50" s="2317"/>
      <c r="X50" s="2317"/>
      <c r="Y50" s="2317"/>
      <c r="Z50" s="2317"/>
      <c r="AA50" s="2318"/>
      <c r="AB50" s="2316"/>
      <c r="AC50" s="2317"/>
      <c r="AD50" s="2317"/>
      <c r="AE50" s="2317"/>
      <c r="AF50" s="2317"/>
      <c r="AG50" s="2317"/>
      <c r="AH50" s="2317"/>
      <c r="AI50" s="2317"/>
      <c r="AJ50" s="2317"/>
      <c r="AK50" s="2317"/>
      <c r="AL50" s="2317"/>
      <c r="AM50" s="2317"/>
      <c r="AN50" s="2317"/>
      <c r="AO50" s="2317"/>
      <c r="AP50" s="2317"/>
      <c r="AQ50" s="2317"/>
      <c r="AR50" s="2317"/>
      <c r="AS50" s="2317"/>
      <c r="AT50" s="2318"/>
      <c r="AU50" s="1392"/>
      <c r="AW50" s="507"/>
      <c r="AX50" s="507" t="str">
        <f>IF(T50="","",T50)</f>
        <v/>
      </c>
      <c r="AY50" s="507"/>
      <c r="AZ50" s="507"/>
      <c r="BA50" s="518">
        <v>1</v>
      </c>
    </row>
    <row customHeight="1" ht="22.049999999999997">
      <c r="A51" s="1370" t="s">
        <v>199</v>
      </c>
      <c r="B51" s="1370" t="s">
        <v>200</v>
      </c>
      <c r="C51" s="1370" t="s">
        <v>201</v>
      </c>
      <c r="D51" s="1370" t="s">
        <v>202</v>
      </c>
      <c r="E51" s="2279"/>
      <c r="F51" s="2279"/>
      <c r="G51" s="2279"/>
      <c r="H51" s="2279"/>
      <c r="I51" s="2306"/>
      <c r="J51" s="2306"/>
      <c r="K51" s="2276" t="str">
        <f>S48&amp;".1"</f>
        <v>....1</v>
      </c>
      <c r="L51" s="1371"/>
      <c r="P51" s="2277"/>
      <c r="Q51" s="2277"/>
      <c r="R51" s="364">
        <v>1</v>
      </c>
      <c r="S51" s="2361" t="str">
        <f>$K51</f>
        <v>....1</v>
      </c>
      <c r="T51" s="2364"/>
      <c r="U51" s="307"/>
      <c r="V51" s="758"/>
      <c r="W51" s="1264"/>
      <c r="X51" s="1740"/>
      <c r="Y51" s="1466" t="s">
        <v>61</v>
      </c>
      <c r="Z51" s="1740"/>
      <c r="AA51" s="1466" t="s">
        <v>61</v>
      </c>
      <c r="AB51" s="2127" t="s">
        <v>19</v>
      </c>
      <c r="AC51" s="2346"/>
      <c r="AD51" s="2225">
        <v>1</v>
      </c>
      <c r="AE51" s="2368" t="s">
        <v>22</v>
      </c>
      <c r="AF51" s="2127" t="s">
        <v>19</v>
      </c>
      <c r="AG51" s="2346"/>
      <c r="AH51" s="2225">
        <v>1</v>
      </c>
      <c r="AI51" s="2368" t="s">
        <v>22</v>
      </c>
      <c r="AJ51" s="2127" t="s">
        <v>19</v>
      </c>
      <c r="AK51" s="318"/>
      <c r="AL51" s="1344">
        <v>1</v>
      </c>
      <c r="AM51" s="1409"/>
      <c r="AN51" s="758"/>
      <c r="AO51" s="1264"/>
      <c r="AP51" s="1740"/>
      <c r="AQ51" s="1466" t="s">
        <v>61</v>
      </c>
      <c r="AR51" s="1740"/>
      <c r="AS51" s="1466" t="s">
        <v>61</v>
      </c>
      <c r="AT51" s="1355"/>
      <c r="AU51" s="2273" t="s">
        <v>479</v>
      </c>
      <c r="AV51" s="518">
        <f>STRCHECKDATE(V54:AT54)</f>
      </c>
      <c r="AW51" s="507"/>
      <c r="AX51" s="507" t="str">
        <f>IF(T51="","",T51)</f>
        <v/>
      </c>
      <c r="AY51" s="507"/>
      <c r="AZ51" s="507"/>
      <c r="BA51" s="1162">
        <v>21</v>
      </c>
    </row>
    <row customHeight="1" ht="11.549999999999999">
      <c r="A52" s="1370" t="s">
        <v>199</v>
      </c>
      <c r="B52" s="1370"/>
      <c r="C52" s="1370"/>
      <c r="D52" s="1370"/>
      <c r="E52" s="2279"/>
      <c r="F52" s="2279"/>
      <c r="G52" s="2279"/>
      <c r="H52" s="2279"/>
      <c r="I52" s="2306"/>
      <c r="J52" s="2306"/>
      <c r="K52" s="2276"/>
      <c r="L52" s="1371"/>
      <c r="P52" s="2277"/>
      <c r="Q52" s="2277"/>
      <c r="R52" s="364"/>
      <c r="S52" s="2362"/>
      <c r="T52" s="2365"/>
      <c r="U52" s="307"/>
      <c r="V52" s="1400"/>
      <c r="W52" s="1503"/>
      <c r="X52" s="1400"/>
      <c r="Y52" s="1400"/>
      <c r="Z52" s="1400"/>
      <c r="AA52" s="1400"/>
      <c r="AB52" s="2127"/>
      <c r="AC52" s="2346"/>
      <c r="AD52" s="2225"/>
      <c r="AE52" s="2368"/>
      <c r="AF52" s="2127"/>
      <c r="AG52" s="2346"/>
      <c r="AH52" s="2225"/>
      <c r="AI52" s="2368"/>
      <c r="AJ52" s="2127"/>
      <c r="AK52" s="323"/>
      <c r="AL52" s="423"/>
      <c r="AM52" s="422" t="s">
        <v>464</v>
      </c>
      <c r="AN52" s="1400"/>
      <c r="AO52" s="1503"/>
      <c r="AP52" s="1400"/>
      <c r="AQ52" s="1400"/>
      <c r="AR52" s="1400"/>
      <c r="AS52" s="1400"/>
      <c r="AT52" s="1397"/>
      <c r="AU52" s="2274"/>
      <c r="AW52" s="507"/>
      <c r="AX52" s="507"/>
      <c r="AY52" s="507"/>
      <c r="AZ52" s="507"/>
      <c r="BA52" s="1162">
        <v>11</v>
      </c>
    </row>
    <row customHeight="1" ht="11.549999999999999">
      <c r="A53" s="1370" t="s">
        <v>199</v>
      </c>
      <c r="B53" s="1370"/>
      <c r="C53" s="1370"/>
      <c r="D53" s="1370"/>
      <c r="E53" s="2279"/>
      <c r="F53" s="2279"/>
      <c r="G53" s="2279"/>
      <c r="H53" s="2279"/>
      <c r="I53" s="2306"/>
      <c r="J53" s="2306"/>
      <c r="K53" s="2276"/>
      <c r="L53" s="1371"/>
      <c r="P53" s="2277"/>
      <c r="Q53" s="2277"/>
      <c r="R53" s="364"/>
      <c r="S53" s="2362"/>
      <c r="T53" s="2365"/>
      <c r="U53" s="307"/>
      <c r="V53" s="1400"/>
      <c r="W53" s="1503"/>
      <c r="X53" s="1400"/>
      <c r="Y53" s="1400"/>
      <c r="Z53" s="1400"/>
      <c r="AA53" s="1400"/>
      <c r="AB53" s="2127"/>
      <c r="AC53" s="2346"/>
      <c r="AD53" s="2225"/>
      <c r="AE53" s="2368"/>
      <c r="AF53" s="2127"/>
      <c r="AG53" s="301"/>
      <c r="AH53" s="422"/>
      <c r="AI53" s="422" t="s">
        <v>465</v>
      </c>
      <c r="AJ53" s="1400"/>
      <c r="AK53" s="1400"/>
      <c r="AL53" s="1400"/>
      <c r="AM53" s="1400"/>
      <c r="AN53" s="1400"/>
      <c r="AO53" s="1503"/>
      <c r="AP53" s="1400"/>
      <c r="AQ53" s="1400"/>
      <c r="AR53" s="1400"/>
      <c r="AS53" s="1400"/>
      <c r="AT53" s="1397"/>
      <c r="AU53" s="2274"/>
      <c r="AW53" s="507"/>
      <c r="AX53" s="507"/>
      <c r="AY53" s="507"/>
      <c r="AZ53" s="507"/>
      <c r="BA53" s="1162">
        <v>11</v>
      </c>
    </row>
    <row customHeight="1" ht="11.549999999999999">
      <c r="A54" s="1370" t="s">
        <v>199</v>
      </c>
      <c r="B54" s="1370" t="s">
        <v>200</v>
      </c>
      <c r="C54" s="1370" t="s">
        <v>201</v>
      </c>
      <c r="D54" s="1370" t="s">
        <v>202</v>
      </c>
      <c r="E54" s="2279"/>
      <c r="F54" s="2279"/>
      <c r="G54" s="2279"/>
      <c r="H54" s="2279"/>
      <c r="I54" s="2306"/>
      <c r="J54" s="2306"/>
      <c r="K54" s="2276"/>
      <c r="L54" s="1371"/>
      <c r="P54" s="2277"/>
      <c r="Q54" s="2277"/>
      <c r="R54" s="364"/>
      <c r="S54" s="2363"/>
      <c r="T54" s="2366"/>
      <c r="U54" s="307"/>
      <c r="V54" s="1400"/>
      <c r="W54" s="1401" t="str">
        <f>X51&amp;"-"&amp;Z51</f>
        <v>-</v>
      </c>
      <c r="X54" s="1400"/>
      <c r="Y54" s="1400"/>
      <c r="Z54" s="1400"/>
      <c r="AA54" s="1400"/>
      <c r="AB54" s="2127"/>
      <c r="AC54" s="319"/>
      <c r="AD54" s="321"/>
      <c r="AE54" s="422" t="s">
        <v>466</v>
      </c>
      <c r="AF54" s="1400"/>
      <c r="AG54" s="1400"/>
      <c r="AH54" s="1400"/>
      <c r="AI54" s="1400"/>
      <c r="AJ54" s="1400"/>
      <c r="AK54" s="1400"/>
      <c r="AL54" s="1400"/>
      <c r="AM54" s="1400"/>
      <c r="AN54" s="1400"/>
      <c r="AO54" s="1401" t="str">
        <f>AP51&amp;"-"&amp;AR51</f>
        <v>-</v>
      </c>
      <c r="AP54" s="1400"/>
      <c r="AQ54" s="1400"/>
      <c r="AR54" s="1400"/>
      <c r="AS54" s="1400"/>
      <c r="AT54" s="1356"/>
      <c r="AU54" s="2274"/>
      <c r="AW54" s="507"/>
      <c r="AX54" s="507" t="str">
        <f>IF(T54="","",T54)</f>
        <v/>
      </c>
      <c r="AY54" s="507"/>
      <c r="AZ54" s="507"/>
      <c r="BA54" s="1162">
        <v>11</v>
      </c>
    </row>
    <row customHeight="1" ht="11.549999999999999">
      <c r="A55" s="1370" t="s">
        <v>199</v>
      </c>
      <c r="B55" s="1370" t="s">
        <v>200</v>
      </c>
      <c r="C55" s="1370" t="s">
        <v>201</v>
      </c>
      <c r="D55" s="1370" t="s">
        <v>202</v>
      </c>
      <c r="E55" s="2279"/>
      <c r="F55" s="2279"/>
      <c r="G55" s="2279"/>
      <c r="H55" s="2279"/>
      <c r="I55" s="2306"/>
      <c r="J55" s="2276"/>
      <c r="K55" s="1370"/>
      <c r="L55" s="1371"/>
      <c r="P55" s="2277"/>
      <c r="Q55" s="2277"/>
      <c r="R55" s="363"/>
      <c r="S55" s="1285"/>
      <c r="T55" s="294" t="s">
        <v>467</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75"/>
      <c r="AW55" s="507"/>
      <c r="AX55" s="507" t="str">
        <f>IF(T55="","",T55)</f>
        <v>Добавить строку</v>
      </c>
      <c r="AY55" s="507"/>
      <c r="AZ55" s="507"/>
      <c r="BA55" s="1162">
        <v>11</v>
      </c>
    </row>
    <row s="1649" customFormat="1" customHeight="1" ht="1.05">
      <c r="A56" s="1350" t="s">
        <v>199</v>
      </c>
      <c r="B56" s="1350" t="s">
        <v>200</v>
      </c>
      <c r="C56" s="1350" t="s">
        <v>201</v>
      </c>
      <c r="D56" s="1350" t="s">
        <v>202</v>
      </c>
      <c r="E56" s="2279"/>
      <c r="F56" s="2279"/>
      <c r="G56" s="2279"/>
      <c r="H56" s="2279"/>
      <c r="I56" s="2276"/>
      <c r="J56" s="1350"/>
      <c r="K56" s="1350"/>
      <c r="L56" s="1353"/>
      <c r="M56" s="517"/>
      <c r="N56" s="517"/>
      <c r="O56" s="517"/>
      <c r="P56" s="2277"/>
      <c r="Q56" s="1338"/>
      <c r="R56" s="363"/>
      <c r="S56" s="1393"/>
      <c r="T56" s="1394" t="s">
        <v>411</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199</v>
      </c>
      <c r="B57" s="1350" t="s">
        <v>200</v>
      </c>
      <c r="C57" s="1350" t="s">
        <v>201</v>
      </c>
      <c r="D57" s="1350" t="s">
        <v>202</v>
      </c>
      <c r="E57" s="2279"/>
      <c r="F57" s="2279"/>
      <c r="G57" s="2279"/>
      <c r="H57" s="2278"/>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199</v>
      </c>
      <c r="B58" s="1350" t="s">
        <v>200</v>
      </c>
      <c r="C58" s="1350" t="s">
        <v>201</v>
      </c>
      <c r="D58" s="1321"/>
      <c r="E58" s="2279"/>
      <c r="F58" s="2279"/>
      <c r="G58" s="2278"/>
      <c r="H58" s="1321"/>
      <c r="I58" s="1321"/>
      <c r="J58" s="1321"/>
      <c r="K58" s="1321"/>
      <c r="L58" s="1346"/>
      <c r="M58" s="1322"/>
      <c r="N58" s="1322"/>
      <c r="P58" s="1323"/>
      <c r="Q58" s="1324"/>
      <c r="R58" s="1323"/>
      <c r="S58" s="1329"/>
      <c r="T58" s="1332" t="s">
        <v>413</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199</v>
      </c>
      <c r="B59" s="1350" t="s">
        <v>200</v>
      </c>
      <c r="C59" s="1321"/>
      <c r="D59" s="1321"/>
      <c r="E59" s="2279"/>
      <c r="F59" s="2278"/>
      <c r="G59" s="1321"/>
      <c r="H59" s="1321"/>
      <c r="I59" s="1321"/>
      <c r="J59" s="1321"/>
      <c r="K59" s="1321"/>
      <c r="L59" s="1346"/>
      <c r="M59" s="1328"/>
      <c r="N59" s="1328"/>
      <c r="P59" s="1323"/>
      <c r="Q59" s="1324"/>
      <c r="R59" s="1323"/>
      <c r="S59" s="1329"/>
      <c r="T59" s="1332" t="s">
        <v>414</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199</v>
      </c>
      <c r="B60" s="1350"/>
      <c r="C60" s="1350"/>
      <c r="D60" s="1350"/>
      <c r="E60" s="2279"/>
      <c r="F60" s="1350"/>
      <c r="G60" s="1350"/>
      <c r="H60" s="1350"/>
      <c r="I60" s="1350"/>
      <c r="J60" s="1350"/>
      <c r="K60" s="1350"/>
      <c r="L60" s="1353"/>
      <c r="M60" s="1328"/>
      <c r="N60" s="1328"/>
      <c r="O60" s="525"/>
      <c r="P60" s="387"/>
      <c r="Q60" s="1351"/>
      <c r="R60" s="387"/>
      <c r="S60" s="1329"/>
      <c r="T60" s="1332" t="s">
        <v>415</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199</v>
      </c>
      <c r="B61" s="1350"/>
      <c r="C61" s="1350"/>
      <c r="D61" s="1350"/>
      <c r="E61" s="2278"/>
      <c r="F61" s="1350"/>
      <c r="G61" s="1350"/>
      <c r="H61" s="1350"/>
      <c r="I61" s="1350"/>
      <c r="J61" s="1350"/>
      <c r="K61" s="1350"/>
      <c r="L61" s="1353"/>
      <c r="M61" s="1328"/>
      <c r="N61" s="1328"/>
      <c r="O61" s="525"/>
      <c r="P61" s="387"/>
      <c r="Q61" s="1351"/>
      <c r="R61" s="387"/>
      <c r="S61" s="1329"/>
      <c r="T61" s="1332" t="s">
        <v>415</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447</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305"/>
      <c r="U64" s="2305"/>
      <c r="V64" s="2305"/>
      <c r="W64" s="2305"/>
      <c r="X64" s="2305"/>
      <c r="Y64" s="2305"/>
      <c r="Z64" s="2305"/>
      <c r="AA64" s="2305"/>
      <c r="AB64" s="2305"/>
      <c r="AC64" s="2305"/>
      <c r="AD64" s="2305"/>
      <c r="AE64" s="2305"/>
      <c r="AF64" s="2305"/>
      <c r="AG64" s="2305"/>
      <c r="AH64" s="2305"/>
      <c r="AI64" s="2305"/>
      <c r="AJ64" s="2305"/>
      <c r="AK64" s="2305"/>
      <c r="AL64" s="2305"/>
      <c r="AM64" s="2305"/>
      <c r="AN64" s="2305"/>
      <c r="AO64" s="2305"/>
      <c r="AP64" s="2305"/>
      <c r="AQ64" s="2305"/>
      <c r="AR64" s="2305"/>
      <c r="AS64" s="2305"/>
      <c r="AT64" s="2305"/>
      <c r="AU64" s="2305"/>
      <c r="BA64" s="1162">
        <v>19</v>
      </c>
    </row>
    <row customHeight="1" ht="21">
      <c r="O65" s="54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BA67" s="1162">
        <v>19</v>
      </c>
    </row>
    <row customHeight="1" ht="16.8">
      <c r="O68" s="544"/>
      <c r="T68" s="2305"/>
      <c r="U68" s="2305"/>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R68" s="2305"/>
      <c r="AS68" s="2305"/>
      <c r="AT68" s="2305"/>
      <c r="AU68" s="2305"/>
      <c r="BA68" s="1162">
        <v>16</v>
      </c>
    </row>
    <row customHeight="1" ht="14.699999999999998">
      <c r="O69" s="544"/>
      <c r="BA69" s="1162">
        <v>14</v>
      </c>
    </row>
    <row customHeight="1" ht="22.5" hidden="1">
      <c r="A70" s="1167" t="s">
        <v>81</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D1372-487C-0016-B8EC-0.06A42E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78">
        <v>1</v>
      </c>
      <c r="F2" s="1370"/>
      <c r="G2" s="1370"/>
      <c r="H2" s="1370"/>
      <c r="I2" s="1370"/>
      <c r="J2" s="1370"/>
      <c r="K2" s="1370"/>
      <c r="L2" s="1371"/>
      <c r="M2" s="1372"/>
      <c r="N2" s="1372"/>
      <c r="O2" s="1372"/>
      <c r="P2" s="368"/>
      <c r="Q2" s="367"/>
      <c r="R2" s="362"/>
      <c r="S2" s="1432">
        <f>INDEX(PT_DIFFERENTIATION_NUM_NTAR,MATCH(A2,PT_DIFFERENTIATION_NTAR_ID,0))</f>
      </c>
      <c r="T2" s="305" t="s">
        <v>124</v>
      </c>
      <c r="U2" s="307"/>
      <c r="V2" s="2262"/>
      <c r="W2" s="2263"/>
      <c r="X2" s="2263"/>
      <c r="Y2" s="2263"/>
      <c r="Z2" s="2263"/>
      <c r="AA2" s="2263"/>
      <c r="AB2" s="2264"/>
      <c r="AC2" s="2262">
        <f>INDEX(PT_DIFFERENTIATION_NTAR,MATCH(A2,PT_DIFFERENTIATION_NTAR_ID,0))</f>
      </c>
      <c r="AD2" s="2263"/>
      <c r="AE2" s="2263"/>
      <c r="AF2" s="2263"/>
      <c r="AG2" s="2263"/>
      <c r="AH2" s="2263"/>
      <c r="AI2" s="2263"/>
      <c r="AJ2" s="2264"/>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79"/>
      <c r="F3" s="2278">
        <v>1</v>
      </c>
      <c r="G3" s="1370"/>
      <c r="H3" s="1370"/>
      <c r="I3" s="1370"/>
      <c r="J3" s="1370"/>
      <c r="K3" s="1370"/>
      <c r="L3" s="1371"/>
      <c r="M3" s="1372"/>
      <c r="N3" s="1372"/>
      <c r="O3" s="1372"/>
      <c r="P3" s="1430"/>
      <c r="Q3" s="359"/>
      <c r="R3" s="360"/>
      <c r="S3" s="1432">
        <f>INDEX(PT_DIFFERENTIATION_NUM_TER,MATCH(B3,PT_DIFFERENTIATION_TER_ID,0))</f>
      </c>
      <c r="T3" s="315" t="s">
        <v>396</v>
      </c>
      <c r="U3" s="307"/>
      <c r="V3" s="2262"/>
      <c r="W3" s="2263"/>
      <c r="X3" s="2263"/>
      <c r="Y3" s="2263"/>
      <c r="Z3" s="2263"/>
      <c r="AA3" s="2263"/>
      <c r="AB3" s="2264"/>
      <c r="AC3" s="2262">
        <f>INDEX(PT_DIFFERENTIATION_TER,MATCH(B3,PT_DIFFERENTIATION_TER_ID,0))</f>
      </c>
      <c r="AD3" s="2263"/>
      <c r="AE3" s="2263"/>
      <c r="AF3" s="2263"/>
      <c r="AG3" s="2263"/>
      <c r="AH3" s="2263"/>
      <c r="AI3" s="2263"/>
      <c r="AJ3" s="2264"/>
      <c r="AK3" s="1265" t="s">
        <v>397</v>
      </c>
      <c r="AM3" s="507"/>
      <c r="AN3" s="507" t="str">
        <f>IF(T3="","",T3)</f>
        <v>Территория действия тарифа</v>
      </c>
      <c r="AO3" s="507"/>
      <c r="AP3" s="507"/>
      <c r="AQ3" s="1162">
        <v>0</v>
      </c>
    </row>
    <row customHeight="1" ht="23.25" hidden="1">
      <c r="A4" s="1370"/>
      <c r="B4" s="1370"/>
      <c r="C4" s="1370"/>
      <c r="D4" s="1370"/>
      <c r="E4" s="2279"/>
      <c r="F4" s="2279"/>
      <c r="G4" s="2278">
        <v>1</v>
      </c>
      <c r="H4" s="1370"/>
      <c r="I4" s="1370"/>
      <c r="J4" s="1370"/>
      <c r="K4" s="1370"/>
      <c r="L4" s="1371"/>
      <c r="M4" s="1372"/>
      <c r="N4" s="1372"/>
      <c r="O4" s="1372"/>
      <c r="P4" s="361"/>
      <c r="Q4" s="359"/>
      <c r="R4" s="360"/>
      <c r="S4" s="1432">
        <f>INDEX(PT_DIFFERENTIATION_NUM_CS,MATCH(C4,PT_DIFFERENTIATION_CS_ID,0))</f>
      </c>
      <c r="T4" s="316" t="s">
        <v>480</v>
      </c>
      <c r="U4" s="307"/>
      <c r="V4" s="2262"/>
      <c r="W4" s="2263"/>
      <c r="X4" s="2263"/>
      <c r="Y4" s="2263"/>
      <c r="Z4" s="2263"/>
      <c r="AA4" s="2263"/>
      <c r="AB4" s="2264"/>
      <c r="AC4" s="2262">
        <f>INDEX(PT_DIFFERENTIATION_CS,MATCH(C4,PT_DIFFERENTIATION_CS_ID,0))</f>
      </c>
      <c r="AD4" s="2263"/>
      <c r="AE4" s="2263"/>
      <c r="AF4" s="2263"/>
      <c r="AG4" s="2263"/>
      <c r="AH4" s="2263"/>
      <c r="AI4" s="2263"/>
      <c r="AJ4" s="2264"/>
      <c r="AK4" s="1265" t="s">
        <v>481</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79"/>
      <c r="F5" s="2279"/>
      <c r="G5" s="2279"/>
      <c r="H5" s="2279"/>
      <c r="I5" s="2276">
        <f>S4&amp;".1"</f>
      </c>
      <c r="J5" s="1370"/>
      <c r="K5" s="1370"/>
      <c r="L5" s="1371"/>
      <c r="P5" s="2277">
        <v>1</v>
      </c>
      <c r="Q5" s="1429"/>
      <c r="R5" s="363"/>
      <c r="S5" s="1432">
        <f>$I5</f>
      </c>
      <c r="T5" s="292" t="s">
        <v>482</v>
      </c>
      <c r="U5" s="307"/>
      <c r="V5" s="2370"/>
      <c r="W5" s="2371"/>
      <c r="X5" s="2371"/>
      <c r="Y5" s="2371"/>
      <c r="Z5" s="2371"/>
      <c r="AA5" s="2371"/>
      <c r="AB5" s="2372"/>
      <c r="AC5" s="2373"/>
      <c r="AD5" s="2374"/>
      <c r="AE5" s="2374"/>
      <c r="AF5" s="2374"/>
      <c r="AG5" s="2374"/>
      <c r="AH5" s="2374"/>
      <c r="AI5" s="2374"/>
      <c r="AJ5" s="2375"/>
      <c r="AK5" s="1265" t="s">
        <v>483</v>
      </c>
      <c r="AM5" s="507"/>
      <c r="AN5" s="507" t="str">
        <f>IF(T5="","",T5)</f>
        <v>Наименование признака дифференциации</v>
      </c>
      <c r="AO5" s="507"/>
      <c r="AP5" s="507"/>
      <c r="AQ5" s="1162">
        <v>0</v>
      </c>
    </row>
    <row customHeight="1" ht="23.25" hidden="1">
      <c r="A6" s="1370"/>
      <c r="B6" s="1370"/>
      <c r="C6" s="1370"/>
      <c r="D6" s="1370"/>
      <c r="E6" s="2279"/>
      <c r="F6" s="2279"/>
      <c r="G6" s="2279"/>
      <c r="H6" s="2279"/>
      <c r="I6" s="2306"/>
      <c r="J6" s="2276">
        <f>I5&amp;".1"</f>
      </c>
      <c r="K6" s="1370"/>
      <c r="L6" s="1371" t="s">
        <v>405</v>
      </c>
      <c r="P6" s="2277"/>
      <c r="Q6" s="2277">
        <v>1</v>
      </c>
      <c r="R6" s="364"/>
      <c r="S6" s="1432">
        <f>$J6</f>
      </c>
      <c r="T6" s="293" t="s">
        <v>406</v>
      </c>
      <c r="U6" s="307"/>
      <c r="V6" s="2265"/>
      <c r="W6" s="2266"/>
      <c r="X6" s="2266"/>
      <c r="Y6" s="2266"/>
      <c r="Z6" s="2266"/>
      <c r="AA6" s="2266"/>
      <c r="AB6" s="2267"/>
      <c r="AC6" s="2265"/>
      <c r="AD6" s="2266"/>
      <c r="AE6" s="2266"/>
      <c r="AF6" s="2266"/>
      <c r="AG6" s="2266"/>
      <c r="AH6" s="2266"/>
      <c r="AI6" s="2266"/>
      <c r="AJ6" s="2267"/>
      <c r="AK6" s="1314" t="s">
        <v>484</v>
      </c>
      <c r="AM6" s="507"/>
      <c r="AN6" s="507" t="str">
        <f>IF(T6="","",T6)</f>
        <v>Группа потребителей</v>
      </c>
      <c r="AO6" s="507"/>
      <c r="AP6" s="507"/>
      <c r="AQ6" s="1162">
        <v>0</v>
      </c>
    </row>
    <row customHeight="1" ht="23.25" hidden="1">
      <c r="A7" s="1370"/>
      <c r="B7" s="1370"/>
      <c r="C7" s="1370"/>
      <c r="D7" s="1370"/>
      <c r="E7" s="2279"/>
      <c r="F7" s="2279"/>
      <c r="G7" s="2279"/>
      <c r="H7" s="2279"/>
      <c r="I7" s="2306"/>
      <c r="J7" s="2306"/>
      <c r="K7" s="2276">
        <f>J6&amp;".1"</f>
      </c>
      <c r="L7" s="1371"/>
      <c r="P7" s="2277"/>
      <c r="Q7" s="2277"/>
      <c r="R7" s="364">
        <v>1</v>
      </c>
      <c r="S7" s="1432">
        <f>$K7</f>
      </c>
      <c r="T7" s="1444"/>
      <c r="U7" s="307"/>
      <c r="V7" s="758"/>
      <c r="W7" s="758"/>
      <c r="X7" s="1264"/>
      <c r="Y7" s="2285"/>
      <c r="Z7" s="2127" t="s">
        <v>61</v>
      </c>
      <c r="AA7" s="2285"/>
      <c r="AB7" s="2127" t="s">
        <v>61</v>
      </c>
      <c r="AC7" s="758"/>
      <c r="AD7" s="758"/>
      <c r="AE7" s="1264"/>
      <c r="AF7" s="2285"/>
      <c r="AG7" s="2127" t="s">
        <v>61</v>
      </c>
      <c r="AH7" s="2307"/>
      <c r="AI7" s="2127" t="s">
        <v>61</v>
      </c>
      <c r="AJ7" s="1445"/>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79"/>
      <c r="F8" s="2279"/>
      <c r="G8" s="2279"/>
      <c r="H8" s="2279"/>
      <c r="I8" s="2306"/>
      <c r="J8" s="2306"/>
      <c r="K8" s="2276"/>
      <c r="L8" s="1371"/>
      <c r="P8" s="2277"/>
      <c r="Q8" s="2277"/>
      <c r="R8" s="364"/>
      <c r="S8" s="1431"/>
      <c r="T8" s="307"/>
      <c r="U8" s="307"/>
      <c r="V8" s="332"/>
      <c r="W8" s="332"/>
      <c r="X8" s="335" t="str">
        <f>Y7&amp;"-"&amp;AA7</f>
        <v>-</v>
      </c>
      <c r="Y8" s="2286"/>
      <c r="Z8" s="2127"/>
      <c r="AA8" s="2286"/>
      <c r="AB8" s="2127"/>
      <c r="AC8" s="332"/>
      <c r="AD8" s="332"/>
      <c r="AE8" s="335" t="str">
        <f>AF7&amp;"-"&amp;AH7</f>
        <v>-</v>
      </c>
      <c r="AF8" s="2286"/>
      <c r="AG8" s="2127"/>
      <c r="AH8" s="2308"/>
      <c r="AI8" s="2127"/>
      <c r="AJ8" s="1446"/>
      <c r="AK8" s="2369"/>
      <c r="AM8" s="507"/>
      <c r="AN8" s="507" t="str">
        <f>IF(T8="","",T8)</f>
        <v/>
      </c>
      <c r="AO8" s="507"/>
      <c r="AP8" s="507"/>
      <c r="AQ8" s="1162">
        <v>0</v>
      </c>
    </row>
    <row customHeight="1" ht="21" hidden="1">
      <c r="A9" s="1370"/>
      <c r="B9" s="1370"/>
      <c r="C9" s="1370"/>
      <c r="D9" s="1370"/>
      <c r="E9" s="2279"/>
      <c r="F9" s="2279"/>
      <c r="G9" s="2279"/>
      <c r="H9" s="2279"/>
      <c r="I9" s="2306"/>
      <c r="J9" s="2276"/>
      <c r="K9" s="1370"/>
      <c r="L9" s="1371"/>
      <c r="P9" s="2277"/>
      <c r="Q9" s="2277"/>
      <c r="R9" s="363"/>
      <c r="S9" s="1285"/>
      <c r="T9" s="294" t="s">
        <v>485</v>
      </c>
      <c r="U9" s="374"/>
      <c r="V9" s="374"/>
      <c r="W9" s="374"/>
      <c r="X9" s="374"/>
      <c r="Y9" s="374"/>
      <c r="Z9" s="374"/>
      <c r="AA9" s="374"/>
      <c r="AB9" s="374"/>
      <c r="AC9" s="374"/>
      <c r="AD9" s="374"/>
      <c r="AE9" s="374"/>
      <c r="AF9" s="374"/>
      <c r="AG9" s="374"/>
      <c r="AH9" s="374"/>
      <c r="AI9" s="374"/>
      <c r="AJ9" s="374"/>
      <c r="AK9" s="1265" t="s">
        <v>486</v>
      </c>
      <c r="AM9" s="507"/>
      <c r="AN9" s="507" t="str">
        <f>IF(T9="","",T9)</f>
        <v>Добавить значение признака дифференциации</v>
      </c>
      <c r="AO9" s="507"/>
      <c r="AP9" s="507"/>
      <c r="AQ9" s="1162">
        <v>0</v>
      </c>
    </row>
    <row customHeight="1" ht="21" hidden="1">
      <c r="A10" s="1370"/>
      <c r="B10" s="1370"/>
      <c r="C10" s="1370"/>
      <c r="D10" s="1370"/>
      <c r="E10" s="2279"/>
      <c r="F10" s="2279"/>
      <c r="G10" s="2279"/>
      <c r="H10" s="2279"/>
      <c r="I10" s="2276"/>
      <c r="J10" s="1370"/>
      <c r="K10" s="1370"/>
      <c r="L10" s="1371"/>
      <c r="P10" s="2277"/>
      <c r="Q10" s="1429"/>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79"/>
      <c r="F11" s="2279"/>
      <c r="G11" s="2279"/>
      <c r="H11" s="2278"/>
      <c r="I11" s="1370"/>
      <c r="J11" s="1370"/>
      <c r="K11" s="1370"/>
      <c r="L11" s="1371"/>
      <c r="M11" s="1372"/>
      <c r="N11" s="1372"/>
      <c r="O11" s="544"/>
      <c r="P11" s="367"/>
      <c r="Q11" s="382"/>
      <c r="R11" s="362"/>
      <c r="S11" s="1285"/>
      <c r="T11" s="379" t="s">
        <v>487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79"/>
      <c r="F12" s="2278"/>
      <c r="G12" s="1321"/>
      <c r="H12" s="1321"/>
      <c r="I12" s="1321"/>
      <c r="J12" s="1321"/>
      <c r="K12" s="1321"/>
      <c r="L12" s="1433"/>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78"/>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87"/>
      <c r="AG15" s="2288" t="s">
        <v>61</v>
      </c>
      <c r="AH15" s="2287"/>
      <c r="AI15" s="2288" t="s">
        <v>61</v>
      </c>
      <c r="AQ15" s="1162">
        <v>0</v>
      </c>
    </row>
    <row customHeight="1" ht="14.25" hidden="1">
      <c r="AC16" s="1367"/>
      <c r="AD16" s="1367"/>
      <c r="AE16" s="335" t="str">
        <f>AF15&amp;"-"&amp;AH15</f>
        <v>-</v>
      </c>
      <c r="AF16" s="2288"/>
      <c r="AG16" s="2288"/>
      <c r="AH16" s="2288"/>
      <c r="AI16" s="2288"/>
      <c r="AQ16" s="1162">
        <v>0</v>
      </c>
    </row>
    <row customHeight="1" ht="14.25" hidden="1">
      <c r="AI17" s="334"/>
      <c r="AQ17" s="1162">
        <v>0</v>
      </c>
    </row>
    <row s="1373" customFormat="1" customHeight="1" ht="22.5" hidden="1">
      <c r="L18" s="1428"/>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50"/>
      <c r="AQ24" s="1162">
        <v>14</v>
      </c>
    </row>
    <row customHeight="1" ht="14.699999999999998">
      <c r="Q25" s="383"/>
      <c r="R25" s="383"/>
      <c r="S25" s="2269" t="str">
        <f>IF(org=0,"Не определено",org)</f>
        <v>ИМУП «ПОСЖИЛКОМСЕРВИС»</v>
      </c>
      <c r="T25" s="2269"/>
      <c r="U25" s="2269"/>
      <c r="V25" s="2269"/>
      <c r="W25" s="2269"/>
      <c r="X25" s="2269"/>
      <c r="Y25" s="2269"/>
      <c r="Z25" s="2269"/>
      <c r="AA25" s="2269"/>
      <c r="AB25" s="2269"/>
      <c r="AC25" s="2269"/>
      <c r="AD25" s="2269"/>
      <c r="AE25" s="2269"/>
      <c r="AF25" s="2269"/>
      <c r="AG25" s="2269"/>
      <c r="AH25" s="2269"/>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0" t="s">
        <v>41</v>
      </c>
      <c r="T27" s="2270"/>
      <c r="U27" s="1379"/>
      <c r="V27" s="2271" t="str">
        <f>IF(TITLE_NAME_OR_PR_CHANGE="",IF(TITLE_NAME_OR_PR="","",TITLE_NAME_OR_PR),TITLE_NAME_OR_PR_CHANGE)</f>
        <v/>
      </c>
      <c r="W27" s="2271"/>
      <c r="X27" s="2271"/>
      <c r="Y27" s="2271"/>
      <c r="Z27" s="2271"/>
      <c r="AA27" s="2271"/>
      <c r="AB27" s="333"/>
      <c r="AC27" s="2271" t="str">
        <f>IF(TITLE_NAME_OR_PR_CHANGE="",IF(TITLE_NAME_OR_PR="","",TITLE_NAME_OR_PR),TITLE_NAME_OR_PR_CHANGE)</f>
        <v/>
      </c>
      <c r="AD27" s="2271"/>
      <c r="AE27" s="2271"/>
      <c r="AF27" s="2271"/>
      <c r="AG27" s="2271"/>
      <c r="AH27" s="2271"/>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0" t="s">
        <v>422</v>
      </c>
      <c r="T28" s="2270"/>
      <c r="U28" s="1379"/>
      <c r="V28" s="2284" t="str">
        <f>IF(TITLE_DATE_PR_CHANGE="",IF(TITLE_DATE_PR="","",TITLE_DATE_PR),TITLE_DATE_PR_CHANGE)</f>
        <v/>
      </c>
      <c r="W28" s="2284"/>
      <c r="X28" s="2284"/>
      <c r="Y28" s="2284"/>
      <c r="Z28" s="2284"/>
      <c r="AA28" s="2284"/>
      <c r="AB28" s="333"/>
      <c r="AC28" s="2284" t="str">
        <f>IF(TITLE_DATE_PR_CHANGE="",IF(TITLE_DATE_PR="","",TITLE_DATE_PR),TITLE_DATE_PR_CHANGE)</f>
        <v/>
      </c>
      <c r="AD28" s="2284"/>
      <c r="AE28" s="2284"/>
      <c r="AF28" s="2284"/>
      <c r="AG28" s="2284"/>
      <c r="AH28" s="2284"/>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0" t="s">
        <v>423</v>
      </c>
      <c r="T29" s="2270"/>
      <c r="U29" s="1379"/>
      <c r="V29" s="2271" t="str">
        <f>IF(TITLE_NUMBER_PR_CHANGE="",IF(TITLE_NUMBER_PR="","",TITLE_NUMBER_PR),TITLE_NUMBER_PR_CHANGE)</f>
        <v/>
      </c>
      <c r="W29" s="2271"/>
      <c r="X29" s="2271"/>
      <c r="Y29" s="2271"/>
      <c r="Z29" s="2271"/>
      <c r="AA29" s="2271"/>
      <c r="AB29" s="333"/>
      <c r="AC29" s="2271" t="str">
        <f>IF(TITLE_NUMBER_PR_CHANGE="",IF(TITLE_NUMBER_PR="","",TITLE_NUMBER_PR),TITLE_NUMBER_PR_CHANGE)</f>
        <v/>
      </c>
      <c r="AD29" s="2271"/>
      <c r="AE29" s="2271"/>
      <c r="AF29" s="2271"/>
      <c r="AG29" s="2271"/>
      <c r="AH29" s="2271"/>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v>
      </c>
      <c r="T30" s="2270"/>
      <c r="U30" s="1379"/>
      <c r="V30" s="2271" t="str">
        <f>IF(TITLE_IST_PUB_CHANGE="",IF(TITLE_IST_PUB="","",TITLE_IST_PUB),TITLE_IST_PUB_CHANGE)</f>
        <v/>
      </c>
      <c r="W30" s="2271"/>
      <c r="X30" s="2271"/>
      <c r="Y30" s="2271"/>
      <c r="Z30" s="2271"/>
      <c r="AA30" s="2271"/>
      <c r="AB30" s="333"/>
      <c r="AC30" s="2271" t="str">
        <f>IF(TITLE_IST_PUB_CHANGE="",IF(TITLE_IST_PUB="","",TITLE_IST_PUB),TITLE_IST_PUB_CHANGE)</f>
        <v/>
      </c>
      <c r="AD30" s="2271"/>
      <c r="AE30" s="2271"/>
      <c r="AF30" s="2271"/>
      <c r="AG30" s="2271"/>
      <c r="AH30" s="2271"/>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0" t="s">
        <v>424</v>
      </c>
      <c r="T32" s="2270"/>
      <c r="U32" s="1379"/>
      <c r="V32" s="2284" t="str">
        <f>IF(TITLE_DATE_PR_CHANGE="",IF(TITLE_DATE_PR="","",TITLE_DATE_PR),TITLE_DATE_PR_CHANGE)</f>
        <v/>
      </c>
      <c r="W32" s="2284"/>
      <c r="X32" s="2284"/>
      <c r="Y32" s="2284"/>
      <c r="Z32" s="2284"/>
      <c r="AA32" s="2284"/>
      <c r="AB32" s="333"/>
      <c r="AC32" s="2284" t="str">
        <f>IF(TITLE_DATE_PR_CHANGE="",IF(TITLE_DATE_PR="","",TITLE_DATE_PR),TITLE_DATE_PR_CHANGE)</f>
        <v/>
      </c>
      <c r="AD32" s="2284"/>
      <c r="AE32" s="2284"/>
      <c r="AF32" s="2284"/>
      <c r="AG32" s="2284"/>
      <c r="AH32" s="2284"/>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0" t="s">
        <v>425</v>
      </c>
      <c r="T33" s="2270"/>
      <c r="U33" s="1379"/>
      <c r="V33" s="2271" t="str">
        <f>IF(TITLE_NUMBER_PR_CHANGE="",IF(TITLE_NUMBER_PR="","",TITLE_NUMBER_PR),TITLE_NUMBER_PR_CHANGE)</f>
        <v/>
      </c>
      <c r="W33" s="2271"/>
      <c r="X33" s="2271"/>
      <c r="Y33" s="2271"/>
      <c r="Z33" s="2271"/>
      <c r="AA33" s="2271"/>
      <c r="AB33" s="333"/>
      <c r="AC33" s="2271" t="str">
        <f>IF(TITLE_NUMBER_PR_CHANGE="",IF(TITLE_NUMBER_PR="","",TITLE_NUMBER_PR),TITLE_NUMBER_PR_CHANGE)</f>
        <v/>
      </c>
      <c r="AD33" s="2271"/>
      <c r="AE33" s="2271"/>
      <c r="AF33" s="2271"/>
      <c r="AG33" s="2271"/>
      <c r="AH33" s="2271"/>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426</v>
      </c>
      <c r="AC34" s="333"/>
      <c r="AD34" s="333"/>
      <c r="AE34" s="333"/>
      <c r="AF34" s="333"/>
      <c r="AG34" s="333"/>
      <c r="AH34" s="333"/>
      <c r="AI34" s="285" t="s">
        <v>426</v>
      </c>
      <c r="AL34" s="375"/>
      <c r="AM34" s="375"/>
      <c r="AN34" s="375"/>
      <c r="AO34" s="375"/>
      <c r="AP34" s="375"/>
      <c r="AQ34" s="425">
        <v>1</v>
      </c>
    </row>
    <row customHeight="1" ht="14.699999999999998">
      <c r="Q35" s="383"/>
      <c r="R35" s="383"/>
      <c r="S35" s="1282"/>
      <c r="T35" s="370"/>
      <c r="U35" s="1251"/>
      <c r="V35" s="2272"/>
      <c r="W35" s="2272"/>
      <c r="X35" s="2272"/>
      <c r="Y35" s="2272"/>
      <c r="Z35" s="2272"/>
      <c r="AA35" s="2272"/>
      <c r="AB35" s="2272"/>
      <c r="AC35" s="2272"/>
      <c r="AD35" s="2272"/>
      <c r="AE35" s="2272"/>
      <c r="AF35" s="2272"/>
      <c r="AG35" s="2272"/>
      <c r="AH35" s="2272"/>
      <c r="AI35" s="2272"/>
      <c r="AQ35" s="1162">
        <v>14</v>
      </c>
    </row>
    <row customHeight="1" ht="14.699999999999998">
      <c r="Q36" s="383"/>
      <c r="R36" s="383"/>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62">
        <v>14</v>
      </c>
    </row>
    <row customHeight="1" ht="14.699999999999998">
      <c r="Q37" s="383"/>
      <c r="R37" s="383"/>
      <c r="S37" s="2293" t="s">
        <v>87</v>
      </c>
      <c r="T37" s="2229" t="s">
        <v>427</v>
      </c>
      <c r="U37" s="308"/>
      <c r="V37" s="2294" t="s">
        <v>428</v>
      </c>
      <c r="W37" s="2295"/>
      <c r="X37" s="2295"/>
      <c r="Y37" s="2295"/>
      <c r="Z37" s="2295"/>
      <c r="AA37" s="2296"/>
      <c r="AB37" s="2297" t="s">
        <v>429</v>
      </c>
      <c r="AC37" s="2294" t="s">
        <v>428</v>
      </c>
      <c r="AD37" s="2295"/>
      <c r="AE37" s="2295"/>
      <c r="AF37" s="2295"/>
      <c r="AG37" s="2295"/>
      <c r="AH37" s="2296"/>
      <c r="AI37" s="2297" t="s">
        <v>430</v>
      </c>
      <c r="AJ37" s="2300" t="s">
        <v>431</v>
      </c>
      <c r="AK37" s="2147"/>
      <c r="AQ37" s="1162">
        <v>14</v>
      </c>
    </row>
    <row customHeight="1" ht="35.699999999999996">
      <c r="Q38" s="383"/>
      <c r="R38" s="383"/>
      <c r="S38" s="2293"/>
      <c r="T38" s="2229"/>
      <c r="U38" s="1038"/>
      <c r="V38" s="1359" t="s">
        <v>488</v>
      </c>
      <c r="W38" s="2282" t="s">
        <v>434</v>
      </c>
      <c r="X38" s="2283"/>
      <c r="Y38" s="2282" t="s">
        <v>435</v>
      </c>
      <c r="Z38" s="2289"/>
      <c r="AA38" s="2283"/>
      <c r="AB38" s="2298"/>
      <c r="AC38" s="1359" t="s">
        <v>488</v>
      </c>
      <c r="AD38" s="2282" t="s">
        <v>434</v>
      </c>
      <c r="AE38" s="2283"/>
      <c r="AF38" s="2282" t="s">
        <v>435</v>
      </c>
      <c r="AG38" s="2289"/>
      <c r="AH38" s="2283"/>
      <c r="AI38" s="2298"/>
      <c r="AJ38" s="2301"/>
      <c r="AK38" s="2147"/>
      <c r="AQ38" s="1162">
        <v>34</v>
      </c>
    </row>
    <row customHeight="1" ht="35.699999999999996">
      <c r="A39" s="1377"/>
      <c r="B39" s="1377" t="s">
        <v>136</v>
      </c>
      <c r="C39" s="1377" t="s">
        <v>137</v>
      </c>
      <c r="D39" s="1377" t="s">
        <v>138</v>
      </c>
      <c r="E39" s="1371" t="s">
        <v>436</v>
      </c>
      <c r="F39" s="1371" t="s">
        <v>437</v>
      </c>
      <c r="G39" s="1371" t="s">
        <v>438</v>
      </c>
      <c r="H39" s="1371"/>
      <c r="I39" s="1371" t="s">
        <v>489</v>
      </c>
      <c r="J39" s="1371" t="s">
        <v>441</v>
      </c>
      <c r="K39" s="1371" t="s">
        <v>490</v>
      </c>
      <c r="L39" s="1371" t="s">
        <v>417</v>
      </c>
      <c r="Q39" s="383"/>
      <c r="R39" s="383"/>
      <c r="S39" s="2293"/>
      <c r="T39" s="2229"/>
      <c r="U39" s="309"/>
      <c r="V39" s="1359" t="s">
        <v>491</v>
      </c>
      <c r="W39" s="1229" t="s">
        <v>492</v>
      </c>
      <c r="X39" s="1229" t="s">
        <v>493</v>
      </c>
      <c r="Y39" s="1364" t="s">
        <v>445</v>
      </c>
      <c r="Z39" s="2290" t="s">
        <v>446</v>
      </c>
      <c r="AA39" s="2291"/>
      <c r="AB39" s="2299"/>
      <c r="AC39" s="1359" t="s">
        <v>491</v>
      </c>
      <c r="AD39" s="1229" t="s">
        <v>492</v>
      </c>
      <c r="AE39" s="1229" t="s">
        <v>493</v>
      </c>
      <c r="AF39" s="1364" t="s">
        <v>445</v>
      </c>
      <c r="AG39" s="2290" t="s">
        <v>446</v>
      </c>
      <c r="AH39" s="2291"/>
      <c r="AI39" s="2299"/>
      <c r="AJ39" s="2302"/>
      <c r="AK39" s="2147"/>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360">
        <f>OFFSET(V40,0,-1)+1</f>
        <v>3</v>
      </c>
      <c r="W40" s="1360">
        <f>OFFSET(W40,0,-1)+1</f>
        <v>4</v>
      </c>
      <c r="X40" s="1360">
        <f>OFFSET(X40,0,-1)+1</f>
        <v>5</v>
      </c>
      <c r="Y40" s="1360">
        <f>OFFSET(Y40,0,-1)+1</f>
        <v>6</v>
      </c>
      <c r="Z40" s="2292">
        <f>OFFSET(Z40,0,-1)+1</f>
        <v>7</v>
      </c>
      <c r="AA40" s="2292"/>
      <c r="AB40" s="1360">
        <f>OFFSET(AB40,0,-2)+1</f>
        <v>8</v>
      </c>
      <c r="AC40" s="1360">
        <f>OFFSET(AC40,0,-1)+1</f>
        <v>9</v>
      </c>
      <c r="AD40" s="1360">
        <f>OFFSET(AD40,0,-1)+1</f>
        <v>10</v>
      </c>
      <c r="AE40" s="1360">
        <f>OFFSET(AE40,0,-1)+1</f>
        <v>11</v>
      </c>
      <c r="AF40" s="1360">
        <f>OFFSET(AF40,0,-1)+1</f>
        <v>12</v>
      </c>
      <c r="AG40" s="2292">
        <f>OFFSET(AG40,0,-1)+1</f>
        <v>13</v>
      </c>
      <c r="AH40" s="2292"/>
      <c r="AI40" s="1360">
        <f>OFFSET(AI40,0,-2)+1</f>
        <v>14</v>
      </c>
      <c r="AJ40" s="1252">
        <f>OFFSET(AJ40,0,-1)</f>
        <v>14</v>
      </c>
      <c r="AK40" s="1360">
        <f>OFFSET(AK40,0,-1)+1</f>
        <v>15</v>
      </c>
      <c r="AL40" s="518"/>
      <c r="AM40" s="518"/>
      <c r="AN40" s="518"/>
      <c r="AO40" s="518"/>
      <c r="AP40" s="518"/>
      <c r="AQ40" s="503">
        <v>0</v>
      </c>
    </row>
    <row customHeight="1" ht="24">
      <c r="A41" s="1370" t="s">
        <v>225</v>
      </c>
      <c r="B41" s="1370"/>
      <c r="C41" s="1370"/>
      <c r="D41" s="1370"/>
      <c r="E41" s="2278">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124</v>
      </c>
      <c r="U41" s="307"/>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225</v>
      </c>
      <c r="B42" s="1370" t="s">
        <v>226</v>
      </c>
      <c r="C42" s="1370"/>
      <c r="D42" s="1370"/>
      <c r="E42" s="2279"/>
      <c r="F42" s="2278">
        <v>1</v>
      </c>
      <c r="G42" s="1370"/>
      <c r="H42" s="1370"/>
      <c r="I42" s="1370"/>
      <c r="J42" s="1370"/>
      <c r="K42" s="1370"/>
      <c r="L42" s="1371"/>
      <c r="M42" s="1372"/>
      <c r="N42" s="1372"/>
      <c r="O42" s="1372"/>
      <c r="P42" s="1363"/>
      <c r="Q42" s="359"/>
      <c r="R42" s="360"/>
      <c r="S42" s="1365" t="str">
        <f>INDEX(PT_DIFFERENTIATION_NUM_TER,MATCH(B42,PT_DIFFERENTIATION_TER_ID,0))</f>
        <v>.</v>
      </c>
      <c r="T42" s="315" t="s">
        <v>396</v>
      </c>
      <c r="U42" s="307"/>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65" t="s">
        <v>397</v>
      </c>
      <c r="AM42" s="507"/>
      <c r="AN42" s="507" t="str">
        <f>IF(T42="","",T42)</f>
        <v>Территория действия тарифа</v>
      </c>
      <c r="AO42" s="507"/>
      <c r="AP42" s="507"/>
      <c r="AQ42" s="1162">
        <v>23</v>
      </c>
    </row>
    <row customHeight="1" ht="24">
      <c r="A43" s="1370" t="s">
        <v>225</v>
      </c>
      <c r="B43" s="1370" t="s">
        <v>226</v>
      </c>
      <c r="C43" s="1370" t="s">
        <v>227</v>
      </c>
      <c r="D43" s="1370"/>
      <c r="E43" s="2279"/>
      <c r="F43" s="2279"/>
      <c r="G43" s="2278">
        <v>1</v>
      </c>
      <c r="H43" s="1370"/>
      <c r="I43" s="1370"/>
      <c r="J43" s="1370"/>
      <c r="K43" s="1370"/>
      <c r="L43" s="1371"/>
      <c r="M43" s="1372"/>
      <c r="N43" s="1372"/>
      <c r="O43" s="1372"/>
      <c r="P43" s="361"/>
      <c r="Q43" s="359"/>
      <c r="R43" s="360"/>
      <c r="S43" s="1365" t="str">
        <f>INDEX(PT_DIFFERENTIATION_NUM_CS,MATCH(C43,PT_DIFFERENTIATION_CS_ID,0))</f>
        <v>..</v>
      </c>
      <c r="T43" s="316" t="s">
        <v>480</v>
      </c>
      <c r="U43" s="307"/>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65" t="s">
        <v>481</v>
      </c>
      <c r="AM43" s="507"/>
      <c r="AN43" s="507" t="str">
        <f>IF(T43="","",T43)</f>
        <v>Наименование централизованной системы холодного водоснабжения</v>
      </c>
      <c r="AO43" s="507"/>
      <c r="AP43" s="507"/>
      <c r="AQ43" s="1162">
        <v>23</v>
      </c>
    </row>
    <row customHeight="1" ht="24">
      <c r="A44" s="1370" t="s">
        <v>225</v>
      </c>
      <c r="B44" s="1370" t="s">
        <v>226</v>
      </c>
      <c r="C44" s="1370" t="s">
        <v>227</v>
      </c>
      <c r="D44" s="1370" t="s">
        <v>494</v>
      </c>
      <c r="E44" s="2279"/>
      <c r="F44" s="2279"/>
      <c r="G44" s="2279"/>
      <c r="H44" s="2279"/>
      <c r="I44" s="2276" t="str">
        <f>S43&amp;".1"</f>
        <v>...1</v>
      </c>
      <c r="J44" s="1370"/>
      <c r="K44" s="1370"/>
      <c r="L44" s="1371"/>
      <c r="P44" s="2277">
        <v>1</v>
      </c>
      <c r="Q44" s="1361"/>
      <c r="R44" s="363"/>
      <c r="S44" s="1365" t="str">
        <f>$I44</f>
        <v>...1</v>
      </c>
      <c r="T44" s="292" t="s">
        <v>482</v>
      </c>
      <c r="U44" s="307"/>
      <c r="V44" s="2370"/>
      <c r="W44" s="2371"/>
      <c r="X44" s="2371"/>
      <c r="Y44" s="2371"/>
      <c r="Z44" s="2371"/>
      <c r="AA44" s="2371"/>
      <c r="AB44" s="2372"/>
      <c r="AC44" s="2373"/>
      <c r="AD44" s="2374"/>
      <c r="AE44" s="2374"/>
      <c r="AF44" s="2374"/>
      <c r="AG44" s="2374"/>
      <c r="AH44" s="2374"/>
      <c r="AI44" s="2374"/>
      <c r="AJ44" s="2375"/>
      <c r="AK44" s="1265" t="s">
        <v>483</v>
      </c>
      <c r="AM44" s="507"/>
      <c r="AN44" s="507" t="str">
        <f>IF(T44="","",T44)</f>
        <v>Наименование признака дифференциации</v>
      </c>
      <c r="AO44" s="507"/>
      <c r="AP44" s="507"/>
      <c r="AQ44" s="1162">
        <v>23</v>
      </c>
    </row>
    <row customHeight="1" ht="24">
      <c r="A45" s="1370" t="s">
        <v>225</v>
      </c>
      <c r="B45" s="1370" t="s">
        <v>226</v>
      </c>
      <c r="C45" s="1370" t="s">
        <v>227</v>
      </c>
      <c r="D45" s="1370" t="s">
        <v>494</v>
      </c>
      <c r="E45" s="2279"/>
      <c r="F45" s="2279"/>
      <c r="G45" s="2279"/>
      <c r="H45" s="2279"/>
      <c r="I45" s="2306"/>
      <c r="J45" s="2276" t="str">
        <f>I44&amp;".1"</f>
        <v>...1.1</v>
      </c>
      <c r="K45" s="1370"/>
      <c r="L45" s="1371" t="s">
        <v>405</v>
      </c>
      <c r="P45" s="2277"/>
      <c r="Q45" s="2277">
        <v>1</v>
      </c>
      <c r="R45" s="364"/>
      <c r="S45" s="1365" t="str">
        <f>$J45</f>
        <v>...1.1</v>
      </c>
      <c r="T45" s="293" t="s">
        <v>406</v>
      </c>
      <c r="U45" s="307"/>
      <c r="V45" s="2265"/>
      <c r="W45" s="2266"/>
      <c r="X45" s="2266"/>
      <c r="Y45" s="2266"/>
      <c r="Z45" s="2266"/>
      <c r="AA45" s="2266"/>
      <c r="AB45" s="2267"/>
      <c r="AC45" s="2265"/>
      <c r="AD45" s="2266"/>
      <c r="AE45" s="2266"/>
      <c r="AF45" s="2266"/>
      <c r="AG45" s="2266"/>
      <c r="AH45" s="2266"/>
      <c r="AI45" s="2266"/>
      <c r="AJ45" s="2267"/>
      <c r="AK45" s="1314" t="s">
        <v>484</v>
      </c>
      <c r="AM45" s="507"/>
      <c r="AN45" s="507" t="str">
        <f>IF(T45="","",T45)</f>
        <v>Группа потребителей</v>
      </c>
      <c r="AO45" s="507"/>
      <c r="AP45" s="507"/>
      <c r="AQ45" s="1162">
        <v>23</v>
      </c>
    </row>
    <row customHeight="1" ht="24">
      <c r="A46" s="1370" t="s">
        <v>225</v>
      </c>
      <c r="B46" s="1370" t="s">
        <v>226</v>
      </c>
      <c r="C46" s="1370" t="s">
        <v>227</v>
      </c>
      <c r="D46" s="1370" t="s">
        <v>494</v>
      </c>
      <c r="E46" s="2279"/>
      <c r="F46" s="2279"/>
      <c r="G46" s="2279"/>
      <c r="H46" s="2279"/>
      <c r="I46" s="2306"/>
      <c r="J46" s="2306"/>
      <c r="K46" s="2276" t="str">
        <f>J45&amp;".1"</f>
        <v>...1.1.1</v>
      </c>
      <c r="L46" s="1371"/>
      <c r="P46" s="2277"/>
      <c r="Q46" s="2277"/>
      <c r="R46" s="364">
        <v>1</v>
      </c>
      <c r="S46" s="1365" t="str">
        <f>$K46</f>
        <v>...1.1.1</v>
      </c>
      <c r="T46" s="1444"/>
      <c r="U46" s="307"/>
      <c r="V46" s="1367"/>
      <c r="W46" s="1367"/>
      <c r="X46" s="1368"/>
      <c r="Y46" s="2287"/>
      <c r="Z46" s="2288" t="s">
        <v>61</v>
      </c>
      <c r="AA46" s="2287"/>
      <c r="AB46" s="2288" t="s">
        <v>61</v>
      </c>
      <c r="AC46" s="758"/>
      <c r="AD46" s="758"/>
      <c r="AE46" s="1264"/>
      <c r="AF46" s="2285"/>
      <c r="AG46" s="2127" t="s">
        <v>61</v>
      </c>
      <c r="AH46" s="2307"/>
      <c r="AI46" s="2127" t="s">
        <v>19</v>
      </c>
      <c r="AJ46" s="1445"/>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225</v>
      </c>
      <c r="B47" s="1370" t="s">
        <v>226</v>
      </c>
      <c r="C47" s="1370" t="s">
        <v>227</v>
      </c>
      <c r="D47" s="1370" t="s">
        <v>494</v>
      </c>
      <c r="E47" s="2279"/>
      <c r="F47" s="2279"/>
      <c r="G47" s="2279"/>
      <c r="H47" s="2279"/>
      <c r="I47" s="2306"/>
      <c r="J47" s="2306"/>
      <c r="K47" s="2276"/>
      <c r="L47" s="1371"/>
      <c r="P47" s="2277"/>
      <c r="Q47" s="2277"/>
      <c r="R47" s="364"/>
      <c r="S47" s="1366"/>
      <c r="T47" s="307"/>
      <c r="U47" s="307"/>
      <c r="V47" s="1367"/>
      <c r="W47" s="1367"/>
      <c r="X47" s="335" t="str">
        <f>Y46&amp;"-"&amp;AA46</f>
        <v>-</v>
      </c>
      <c r="Y47" s="2288"/>
      <c r="Z47" s="2288"/>
      <c r="AA47" s="2288"/>
      <c r="AB47" s="2288"/>
      <c r="AC47" s="332"/>
      <c r="AD47" s="332"/>
      <c r="AE47" s="335" t="str">
        <f>AF46&amp;"-"&amp;AH46</f>
        <v>-</v>
      </c>
      <c r="AF47" s="2286"/>
      <c r="AG47" s="2127"/>
      <c r="AH47" s="2308"/>
      <c r="AI47" s="2127"/>
      <c r="AJ47" s="1446"/>
      <c r="AK47" s="2369"/>
      <c r="AM47" s="507"/>
      <c r="AN47" s="507" t="str">
        <f>IF(T47="","",T47)</f>
        <v/>
      </c>
      <c r="AO47" s="507"/>
      <c r="AP47" s="507"/>
      <c r="AQ47" s="1162">
        <v>0</v>
      </c>
    </row>
    <row customHeight="1" ht="21">
      <c r="A48" s="1370" t="s">
        <v>225</v>
      </c>
      <c r="B48" s="1370" t="s">
        <v>226</v>
      </c>
      <c r="C48" s="1370" t="s">
        <v>227</v>
      </c>
      <c r="D48" s="1370" t="s">
        <v>494</v>
      </c>
      <c r="E48" s="2279"/>
      <c r="F48" s="2279"/>
      <c r="G48" s="2279"/>
      <c r="H48" s="2279"/>
      <c r="I48" s="2306"/>
      <c r="J48" s="2276"/>
      <c r="K48" s="1370"/>
      <c r="L48" s="1371"/>
      <c r="P48" s="2277"/>
      <c r="Q48" s="2277"/>
      <c r="R48" s="363"/>
      <c r="S48" s="1285"/>
      <c r="T48" s="294" t="s">
        <v>485</v>
      </c>
      <c r="U48" s="374"/>
      <c r="V48" s="374"/>
      <c r="W48" s="374"/>
      <c r="X48" s="374"/>
      <c r="Y48" s="374"/>
      <c r="Z48" s="374"/>
      <c r="AA48" s="374"/>
      <c r="AB48" s="374"/>
      <c r="AC48" s="374"/>
      <c r="AD48" s="374"/>
      <c r="AE48" s="374"/>
      <c r="AF48" s="374"/>
      <c r="AG48" s="374"/>
      <c r="AH48" s="374"/>
      <c r="AI48" s="374"/>
      <c r="AJ48" s="374"/>
      <c r="AK48" s="1265" t="s">
        <v>486</v>
      </c>
      <c r="AM48" s="507"/>
      <c r="AN48" s="507" t="str">
        <f>IF(T48="","",T48)</f>
        <v>Добавить значение признака дифференциации</v>
      </c>
      <c r="AO48" s="507"/>
      <c r="AP48" s="507"/>
      <c r="AQ48" s="1162">
        <v>20</v>
      </c>
    </row>
    <row customHeight="1" ht="22.049999999999997">
      <c r="A49" s="1370" t="s">
        <v>225</v>
      </c>
      <c r="B49" s="1370" t="s">
        <v>226</v>
      </c>
      <c r="C49" s="1370" t="s">
        <v>227</v>
      </c>
      <c r="D49" s="1370" t="s">
        <v>494</v>
      </c>
      <c r="E49" s="2279"/>
      <c r="F49" s="2279"/>
      <c r="G49" s="2279"/>
      <c r="H49" s="2279"/>
      <c r="I49" s="2276"/>
      <c r="J49" s="1370"/>
      <c r="K49" s="1370"/>
      <c r="L49" s="1371"/>
      <c r="P49" s="2277"/>
      <c r="Q49" s="1361"/>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225</v>
      </c>
      <c r="B50" s="1370" t="s">
        <v>226</v>
      </c>
      <c r="C50" s="1370" t="s">
        <v>227</v>
      </c>
      <c r="D50" s="1370" t="s">
        <v>494</v>
      </c>
      <c r="E50" s="2279"/>
      <c r="F50" s="2279"/>
      <c r="G50" s="2279"/>
      <c r="H50" s="2278"/>
      <c r="I50" s="1370"/>
      <c r="J50" s="1370"/>
      <c r="K50" s="1370"/>
      <c r="L50" s="1371"/>
      <c r="M50" s="1372"/>
      <c r="N50" s="1372"/>
      <c r="O50" s="544"/>
      <c r="P50" s="367"/>
      <c r="Q50" s="382"/>
      <c r="R50" s="362"/>
      <c r="S50" s="1285"/>
      <c r="T50" s="379" t="s">
        <v>487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225</v>
      </c>
      <c r="B51" s="1350" t="s">
        <v>226</v>
      </c>
      <c r="C51" s="1321"/>
      <c r="D51" s="1321"/>
      <c r="E51" s="2279"/>
      <c r="F51" s="2278"/>
      <c r="G51" s="1321"/>
      <c r="H51" s="1321"/>
      <c r="I51" s="1321"/>
      <c r="J51" s="1321"/>
      <c r="K51" s="1321"/>
      <c r="L51" s="1433"/>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225</v>
      </c>
      <c r="B52" s="1350"/>
      <c r="C52" s="1350"/>
      <c r="D52" s="1350"/>
      <c r="E52" s="2278"/>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447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05"/>
      <c r="U55" s="2305"/>
      <c r="V55" s="2305"/>
      <c r="W55" s="2305"/>
      <c r="X55" s="2305"/>
      <c r="Y55" s="2305"/>
      <c r="Z55" s="2305"/>
      <c r="AA55" s="2305"/>
      <c r="AB55" s="2305"/>
      <c r="AC55" s="2305"/>
      <c r="AD55" s="2305"/>
      <c r="AE55" s="2305"/>
      <c r="AF55" s="2305"/>
      <c r="AG55" s="2305"/>
      <c r="AH55" s="2305"/>
      <c r="AI55" s="2305"/>
      <c r="AJ55" s="2305"/>
      <c r="AK55" s="2305"/>
      <c r="AQ55" s="1162">
        <v>14</v>
      </c>
    </row>
    <row customHeight="1" ht="14.699999999999998">
      <c r="O56" s="544"/>
      <c r="AQ56" s="1162">
        <v>14</v>
      </c>
    </row>
    <row customHeight="1" ht="14.699999999999998">
      <c r="O57" s="544"/>
      <c r="S57" s="1260"/>
      <c r="T57" s="2305"/>
      <c r="U57" s="2305"/>
      <c r="V57" s="2305"/>
      <c r="W57" s="2305"/>
      <c r="X57" s="2305"/>
      <c r="Y57" s="2305"/>
      <c r="Z57" s="2305"/>
      <c r="AA57" s="2305"/>
      <c r="AB57" s="2305"/>
      <c r="AC57" s="2305"/>
      <c r="AD57" s="2305"/>
      <c r="AE57" s="2305"/>
      <c r="AF57" s="2305"/>
      <c r="AG57" s="2305"/>
      <c r="AH57" s="2305"/>
      <c r="AI57" s="2305"/>
      <c r="AJ57" s="2305"/>
      <c r="AK57" s="2305"/>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0361C-F44C-E151-FB04-0.61CEB25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78">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62"/>
      <c r="W2" s="2263"/>
      <c r="X2" s="2263"/>
      <c r="Y2" s="2263"/>
      <c r="Z2" s="2263"/>
      <c r="AA2" s="2263"/>
      <c r="AB2" s="2264"/>
      <c r="AC2" s="2262">
        <f>INDEX(PT_DIFFERENTIATION_NTAR,MATCH(A2,PT_DIFFERENTIATION_NTAR_ID,0))</f>
      </c>
      <c r="AD2" s="2263"/>
      <c r="AE2" s="2263"/>
      <c r="AF2" s="2263"/>
      <c r="AG2" s="2263"/>
      <c r="AH2" s="2263"/>
      <c r="AI2" s="2263"/>
      <c r="AJ2" s="2264"/>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79"/>
      <c r="F3" s="2278">
        <v>1</v>
      </c>
      <c r="G3" s="1370"/>
      <c r="H3" s="1370"/>
      <c r="I3" s="1370"/>
      <c r="J3" s="1370"/>
      <c r="K3" s="1370"/>
      <c r="L3" s="1371"/>
      <c r="M3" s="1372"/>
      <c r="N3" s="1372"/>
      <c r="O3" s="1372"/>
      <c r="P3" s="1460"/>
      <c r="Q3" s="359"/>
      <c r="R3" s="360"/>
      <c r="S3" s="1464">
        <f>INDEX(PT_DIFFERENTIATION_NUM_TER,MATCH(B3,PT_DIFFERENTIATION_TER_ID,0))</f>
      </c>
      <c r="T3" s="315" t="s">
        <v>396</v>
      </c>
      <c r="U3" s="307"/>
      <c r="V3" s="2262"/>
      <c r="W3" s="2263"/>
      <c r="X3" s="2263"/>
      <c r="Y3" s="2263"/>
      <c r="Z3" s="2263"/>
      <c r="AA3" s="2263"/>
      <c r="AB3" s="2264"/>
      <c r="AC3" s="2262">
        <f>INDEX(PT_DIFFERENTIATION_TER,MATCH(B3,PT_DIFFERENTIATION_TER_ID,0))</f>
      </c>
      <c r="AD3" s="2263"/>
      <c r="AE3" s="2263"/>
      <c r="AF3" s="2263"/>
      <c r="AG3" s="2263"/>
      <c r="AH3" s="2263"/>
      <c r="AI3" s="2263"/>
      <c r="AJ3" s="2264"/>
      <c r="AK3" s="1265" t="s">
        <v>397</v>
      </c>
      <c r="AM3" s="507"/>
      <c r="AN3" s="507" t="str">
        <f>IF(T3="","",T3)</f>
        <v>Территория действия тарифа</v>
      </c>
      <c r="AO3" s="507"/>
      <c r="AP3" s="507"/>
      <c r="AQ3" s="1162">
        <v>0</v>
      </c>
    </row>
    <row customHeight="1" ht="23.25" hidden="1">
      <c r="A4" s="1370"/>
      <c r="B4" s="1370"/>
      <c r="C4" s="1370"/>
      <c r="D4" s="1370"/>
      <c r="E4" s="2279"/>
      <c r="F4" s="2279"/>
      <c r="G4" s="2278">
        <v>1</v>
      </c>
      <c r="H4" s="1370"/>
      <c r="I4" s="1370"/>
      <c r="J4" s="1370"/>
      <c r="K4" s="1370"/>
      <c r="L4" s="1371"/>
      <c r="M4" s="1372"/>
      <c r="N4" s="1372"/>
      <c r="O4" s="1372"/>
      <c r="P4" s="361"/>
      <c r="Q4" s="359"/>
      <c r="R4" s="360"/>
      <c r="S4" s="1464">
        <f>INDEX(PT_DIFFERENTIATION_NUM_CS,MATCH(C4,PT_DIFFERENTIATION_CS_ID,0))</f>
      </c>
      <c r="T4" s="316" t="s">
        <v>480</v>
      </c>
      <c r="U4" s="307"/>
      <c r="V4" s="2262"/>
      <c r="W4" s="2263"/>
      <c r="X4" s="2263"/>
      <c r="Y4" s="2263"/>
      <c r="Z4" s="2263"/>
      <c r="AA4" s="2263"/>
      <c r="AB4" s="2264"/>
      <c r="AC4" s="2262">
        <f>INDEX(PT_DIFFERENTIATION_CS,MATCH(C4,PT_DIFFERENTIATION_CS_ID,0))</f>
      </c>
      <c r="AD4" s="2263"/>
      <c r="AE4" s="2263"/>
      <c r="AF4" s="2263"/>
      <c r="AG4" s="2263"/>
      <c r="AH4" s="2263"/>
      <c r="AI4" s="2263"/>
      <c r="AJ4" s="2264"/>
      <c r="AK4" s="1265" t="s">
        <v>481</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79"/>
      <c r="F5" s="2279"/>
      <c r="G5" s="2279"/>
      <c r="H5" s="2279"/>
      <c r="I5" s="2276">
        <f>S4&amp;".1"</f>
      </c>
      <c r="J5" s="1370"/>
      <c r="K5" s="1370"/>
      <c r="L5" s="1371"/>
      <c r="P5" s="2277">
        <v>1</v>
      </c>
      <c r="Q5" s="1457"/>
      <c r="R5" s="363"/>
      <c r="S5" s="1464">
        <f>$I5</f>
      </c>
      <c r="T5" s="292" t="s">
        <v>482</v>
      </c>
      <c r="U5" s="307"/>
      <c r="V5" s="2370"/>
      <c r="W5" s="2371"/>
      <c r="X5" s="2371"/>
      <c r="Y5" s="2371"/>
      <c r="Z5" s="2371"/>
      <c r="AA5" s="2371"/>
      <c r="AB5" s="2372"/>
      <c r="AC5" s="2373"/>
      <c r="AD5" s="2374"/>
      <c r="AE5" s="2374"/>
      <c r="AF5" s="2374"/>
      <c r="AG5" s="2374"/>
      <c r="AH5" s="2374"/>
      <c r="AI5" s="2374"/>
      <c r="AJ5" s="2375"/>
      <c r="AK5" s="1265" t="s">
        <v>483</v>
      </c>
      <c r="AM5" s="507"/>
      <c r="AN5" s="507" t="str">
        <f>IF(T5="","",T5)</f>
        <v>Наименование признака дифференциации</v>
      </c>
      <c r="AO5" s="507"/>
      <c r="AP5" s="507"/>
      <c r="AQ5" s="1162">
        <v>0</v>
      </c>
    </row>
    <row customHeight="1" ht="23.25" hidden="1">
      <c r="A6" s="1370"/>
      <c r="B6" s="1370"/>
      <c r="C6" s="1370"/>
      <c r="D6" s="1370"/>
      <c r="E6" s="2279"/>
      <c r="F6" s="2279"/>
      <c r="G6" s="2279"/>
      <c r="H6" s="2279"/>
      <c r="I6" s="2306"/>
      <c r="J6" s="2276">
        <f>I5&amp;".1"</f>
      </c>
      <c r="K6" s="1370"/>
      <c r="L6" s="1371" t="s">
        <v>405</v>
      </c>
      <c r="P6" s="2277"/>
      <c r="Q6" s="2277">
        <v>1</v>
      </c>
      <c r="R6" s="364"/>
      <c r="S6" s="1464">
        <f>$J6</f>
      </c>
      <c r="T6" s="293" t="s">
        <v>406</v>
      </c>
      <c r="U6" s="307"/>
      <c r="V6" s="2265"/>
      <c r="W6" s="2266"/>
      <c r="X6" s="2266"/>
      <c r="Y6" s="2266"/>
      <c r="Z6" s="2266"/>
      <c r="AA6" s="2266"/>
      <c r="AB6" s="2267"/>
      <c r="AC6" s="2265"/>
      <c r="AD6" s="2266"/>
      <c r="AE6" s="2266"/>
      <c r="AF6" s="2266"/>
      <c r="AG6" s="2266"/>
      <c r="AH6" s="2266"/>
      <c r="AI6" s="2266"/>
      <c r="AJ6" s="2267"/>
      <c r="AK6" s="1314" t="s">
        <v>484</v>
      </c>
      <c r="AM6" s="507"/>
      <c r="AN6" s="507" t="str">
        <f>IF(T6="","",T6)</f>
        <v>Группа потребителей</v>
      </c>
      <c r="AO6" s="507"/>
      <c r="AP6" s="507"/>
      <c r="AQ6" s="1162">
        <v>0</v>
      </c>
    </row>
    <row customHeight="1" ht="23.25" hidden="1">
      <c r="A7" s="1370"/>
      <c r="B7" s="1370"/>
      <c r="C7" s="1370"/>
      <c r="D7" s="1370"/>
      <c r="E7" s="2279"/>
      <c r="F7" s="2279"/>
      <c r="G7" s="2279"/>
      <c r="H7" s="2279"/>
      <c r="I7" s="2306"/>
      <c r="J7" s="2306"/>
      <c r="K7" s="2276">
        <f>J6&amp;".1"</f>
      </c>
      <c r="L7" s="1371"/>
      <c r="P7" s="2277"/>
      <c r="Q7" s="2277"/>
      <c r="R7" s="364">
        <v>1</v>
      </c>
      <c r="S7" s="1464">
        <f>$K7</f>
      </c>
      <c r="T7" s="1444"/>
      <c r="U7" s="307"/>
      <c r="V7" s="758"/>
      <c r="W7" s="758"/>
      <c r="X7" s="1264"/>
      <c r="Y7" s="2285"/>
      <c r="Z7" s="2127" t="s">
        <v>61</v>
      </c>
      <c r="AA7" s="2285"/>
      <c r="AB7" s="2127" t="s">
        <v>61</v>
      </c>
      <c r="AC7" s="758"/>
      <c r="AD7" s="758"/>
      <c r="AE7" s="1264"/>
      <c r="AF7" s="2285"/>
      <c r="AG7" s="2127" t="s">
        <v>61</v>
      </c>
      <c r="AH7" s="2307"/>
      <c r="AI7" s="2127" t="s">
        <v>61</v>
      </c>
      <c r="AJ7" s="1445"/>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79"/>
      <c r="F8" s="2279"/>
      <c r="G8" s="2279"/>
      <c r="H8" s="2279"/>
      <c r="I8" s="2306"/>
      <c r="J8" s="2306"/>
      <c r="K8" s="2276"/>
      <c r="L8" s="1371"/>
      <c r="P8" s="2277"/>
      <c r="Q8" s="2277"/>
      <c r="R8" s="364"/>
      <c r="S8" s="1463"/>
      <c r="T8" s="307"/>
      <c r="U8" s="307"/>
      <c r="V8" s="332"/>
      <c r="W8" s="332"/>
      <c r="X8" s="335" t="str">
        <f>Y7&amp;"-"&amp;AA7</f>
        <v>-</v>
      </c>
      <c r="Y8" s="2286"/>
      <c r="Z8" s="2127"/>
      <c r="AA8" s="2286"/>
      <c r="AB8" s="2127"/>
      <c r="AC8" s="332"/>
      <c r="AD8" s="332"/>
      <c r="AE8" s="335" t="str">
        <f>AF7&amp;"-"&amp;AH7</f>
        <v>-</v>
      </c>
      <c r="AF8" s="2286"/>
      <c r="AG8" s="2127"/>
      <c r="AH8" s="2308"/>
      <c r="AI8" s="2127"/>
      <c r="AJ8" s="1446"/>
      <c r="AK8" s="2369"/>
      <c r="AM8" s="507"/>
      <c r="AN8" s="507" t="str">
        <f>IF(T8="","",T8)</f>
        <v/>
      </c>
      <c r="AO8" s="507"/>
      <c r="AP8" s="507"/>
      <c r="AQ8" s="1162">
        <v>0</v>
      </c>
    </row>
    <row customHeight="1" ht="21" hidden="1">
      <c r="A9" s="1370"/>
      <c r="B9" s="1370"/>
      <c r="C9" s="1370"/>
      <c r="D9" s="1370"/>
      <c r="E9" s="2279"/>
      <c r="F9" s="2279"/>
      <c r="G9" s="2279"/>
      <c r="H9" s="2279"/>
      <c r="I9" s="2306"/>
      <c r="J9" s="2276"/>
      <c r="K9" s="1370"/>
      <c r="L9" s="1371"/>
      <c r="P9" s="2277"/>
      <c r="Q9" s="2277"/>
      <c r="R9" s="363"/>
      <c r="S9" s="1285"/>
      <c r="T9" s="294" t="s">
        <v>485</v>
      </c>
      <c r="U9" s="374"/>
      <c r="V9" s="374"/>
      <c r="W9" s="374"/>
      <c r="X9" s="374"/>
      <c r="Y9" s="374"/>
      <c r="Z9" s="374"/>
      <c r="AA9" s="374"/>
      <c r="AB9" s="374"/>
      <c r="AC9" s="374"/>
      <c r="AD9" s="374"/>
      <c r="AE9" s="374"/>
      <c r="AF9" s="374"/>
      <c r="AG9" s="374"/>
      <c r="AH9" s="374"/>
      <c r="AI9" s="374"/>
      <c r="AJ9" s="374"/>
      <c r="AK9" s="1265" t="s">
        <v>486</v>
      </c>
      <c r="AM9" s="507"/>
      <c r="AN9" s="507" t="str">
        <f>IF(T9="","",T9)</f>
        <v>Добавить значение признака дифференциации</v>
      </c>
      <c r="AO9" s="507"/>
      <c r="AP9" s="507"/>
      <c r="AQ9" s="1162">
        <v>0</v>
      </c>
    </row>
    <row customHeight="1" ht="21" hidden="1">
      <c r="A10" s="1370"/>
      <c r="B10" s="1370"/>
      <c r="C10" s="1370"/>
      <c r="D10" s="1370"/>
      <c r="E10" s="2279"/>
      <c r="F10" s="2279"/>
      <c r="G10" s="2279"/>
      <c r="H10" s="2279"/>
      <c r="I10" s="2276"/>
      <c r="J10" s="1370"/>
      <c r="K10" s="1370"/>
      <c r="L10" s="1371"/>
      <c r="P10" s="2277"/>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79"/>
      <c r="F11" s="2279"/>
      <c r="G11" s="2279"/>
      <c r="H11" s="2278"/>
      <c r="I11" s="1370"/>
      <c r="J11" s="1370"/>
      <c r="K11" s="1370"/>
      <c r="L11" s="1371"/>
      <c r="M11" s="1372"/>
      <c r="N11" s="1372"/>
      <c r="O11" s="544"/>
      <c r="P11" s="367"/>
      <c r="Q11" s="382"/>
      <c r="R11" s="362"/>
      <c r="S11" s="1285"/>
      <c r="T11" s="379" t="s">
        <v>487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79"/>
      <c r="F12" s="2278"/>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78"/>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87"/>
      <c r="AG15" s="2288" t="s">
        <v>61</v>
      </c>
      <c r="AH15" s="2287"/>
      <c r="AI15" s="2288" t="s">
        <v>61</v>
      </c>
      <c r="AQ15" s="1162">
        <v>0</v>
      </c>
    </row>
    <row customHeight="1" ht="14.25" hidden="1">
      <c r="AC16" s="1367"/>
      <c r="AD16" s="1367"/>
      <c r="AE16" s="335" t="str">
        <f>AF15&amp;"-"&amp;AH15</f>
        <v>-</v>
      </c>
      <c r="AF16" s="2288"/>
      <c r="AG16" s="2288"/>
      <c r="AH16" s="2288"/>
      <c r="AI16" s="2288"/>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50"/>
      <c r="AQ24" s="1162">
        <v>14</v>
      </c>
    </row>
    <row customHeight="1" ht="14.699999999999998">
      <c r="Q25" s="383"/>
      <c r="R25" s="383"/>
      <c r="S25" s="2269" t="str">
        <f>IF(org=0,"Не определено",org)</f>
        <v>ИМУП «ПОСЖИЛКОМСЕРВИС»</v>
      </c>
      <c r="T25" s="2269"/>
      <c r="U25" s="2269"/>
      <c r="V25" s="2269"/>
      <c r="W25" s="2269"/>
      <c r="X25" s="2269"/>
      <c r="Y25" s="2269"/>
      <c r="Z25" s="2269"/>
      <c r="AA25" s="2269"/>
      <c r="AB25" s="2269"/>
      <c r="AC25" s="2269"/>
      <c r="AD25" s="2269"/>
      <c r="AE25" s="2269"/>
      <c r="AF25" s="2269"/>
      <c r="AG25" s="2269"/>
      <c r="AH25" s="2269"/>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0" t="s">
        <v>41</v>
      </c>
      <c r="T27" s="2270"/>
      <c r="U27" s="1379"/>
      <c r="V27" s="2271" t="str">
        <f>IF(TITLE_NAME_OR_PR_CHANGE="",IF(TITLE_NAME_OR_PR="","",TITLE_NAME_OR_PR),TITLE_NAME_OR_PR_CHANGE)</f>
        <v/>
      </c>
      <c r="W27" s="2271"/>
      <c r="X27" s="2271"/>
      <c r="Y27" s="2271"/>
      <c r="Z27" s="2271"/>
      <c r="AA27" s="2271"/>
      <c r="AB27" s="333"/>
      <c r="AC27" s="2271" t="str">
        <f>IF(TITLE_NAME_OR_PR_CHANGE="",IF(TITLE_NAME_OR_PR="","",TITLE_NAME_OR_PR),TITLE_NAME_OR_PR_CHANGE)</f>
        <v/>
      </c>
      <c r="AD27" s="2271"/>
      <c r="AE27" s="2271"/>
      <c r="AF27" s="2271"/>
      <c r="AG27" s="2271"/>
      <c r="AH27" s="2271"/>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0" t="s">
        <v>422</v>
      </c>
      <c r="T28" s="2270"/>
      <c r="U28" s="1379"/>
      <c r="V28" s="2284" t="str">
        <f>IF(TITLE_DATE_PR_CHANGE="",IF(TITLE_DATE_PR="","",TITLE_DATE_PR),TITLE_DATE_PR_CHANGE)</f>
        <v/>
      </c>
      <c r="W28" s="2284"/>
      <c r="X28" s="2284"/>
      <c r="Y28" s="2284"/>
      <c r="Z28" s="2284"/>
      <c r="AA28" s="2284"/>
      <c r="AB28" s="333"/>
      <c r="AC28" s="2284" t="str">
        <f>IF(TITLE_DATE_PR_CHANGE="",IF(TITLE_DATE_PR="","",TITLE_DATE_PR),TITLE_DATE_PR_CHANGE)</f>
        <v/>
      </c>
      <c r="AD28" s="2284"/>
      <c r="AE28" s="2284"/>
      <c r="AF28" s="2284"/>
      <c r="AG28" s="2284"/>
      <c r="AH28" s="2284"/>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0" t="s">
        <v>423</v>
      </c>
      <c r="T29" s="2270"/>
      <c r="U29" s="1379"/>
      <c r="V29" s="2271" t="str">
        <f>IF(TITLE_NUMBER_PR_CHANGE="",IF(TITLE_NUMBER_PR="","",TITLE_NUMBER_PR),TITLE_NUMBER_PR_CHANGE)</f>
        <v/>
      </c>
      <c r="W29" s="2271"/>
      <c r="X29" s="2271"/>
      <c r="Y29" s="2271"/>
      <c r="Z29" s="2271"/>
      <c r="AA29" s="2271"/>
      <c r="AB29" s="333"/>
      <c r="AC29" s="2271" t="str">
        <f>IF(TITLE_NUMBER_PR_CHANGE="",IF(TITLE_NUMBER_PR="","",TITLE_NUMBER_PR),TITLE_NUMBER_PR_CHANGE)</f>
        <v/>
      </c>
      <c r="AD29" s="2271"/>
      <c r="AE29" s="2271"/>
      <c r="AF29" s="2271"/>
      <c r="AG29" s="2271"/>
      <c r="AH29" s="2271"/>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v>
      </c>
      <c r="T30" s="2270"/>
      <c r="U30" s="1379"/>
      <c r="V30" s="2271" t="str">
        <f>IF(TITLE_IST_PUB_CHANGE="",IF(TITLE_IST_PUB="","",TITLE_IST_PUB),TITLE_IST_PUB_CHANGE)</f>
        <v/>
      </c>
      <c r="W30" s="2271"/>
      <c r="X30" s="2271"/>
      <c r="Y30" s="2271"/>
      <c r="Z30" s="2271"/>
      <c r="AA30" s="2271"/>
      <c r="AB30" s="333"/>
      <c r="AC30" s="2271" t="str">
        <f>IF(TITLE_IST_PUB_CHANGE="",IF(TITLE_IST_PUB="","",TITLE_IST_PUB),TITLE_IST_PUB_CHANGE)</f>
        <v/>
      </c>
      <c r="AD30" s="2271"/>
      <c r="AE30" s="2271"/>
      <c r="AF30" s="2271"/>
      <c r="AG30" s="2271"/>
      <c r="AH30" s="2271"/>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0" t="s">
        <v>424</v>
      </c>
      <c r="T32" s="2270"/>
      <c r="U32" s="1379"/>
      <c r="V32" s="2284" t="str">
        <f>IF(TITLE_DATE_PR_CHANGE="",IF(TITLE_DATE_PR="","",TITLE_DATE_PR),TITLE_DATE_PR_CHANGE)</f>
        <v/>
      </c>
      <c r="W32" s="2284"/>
      <c r="X32" s="2284"/>
      <c r="Y32" s="2284"/>
      <c r="Z32" s="2284"/>
      <c r="AA32" s="2284"/>
      <c r="AB32" s="333"/>
      <c r="AC32" s="2284" t="str">
        <f>IF(TITLE_DATE_PR_CHANGE="",IF(TITLE_DATE_PR="","",TITLE_DATE_PR),TITLE_DATE_PR_CHANGE)</f>
        <v/>
      </c>
      <c r="AD32" s="2284"/>
      <c r="AE32" s="2284"/>
      <c r="AF32" s="2284"/>
      <c r="AG32" s="2284"/>
      <c r="AH32" s="2284"/>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0" t="s">
        <v>425</v>
      </c>
      <c r="T33" s="2270"/>
      <c r="U33" s="1379"/>
      <c r="V33" s="2271" t="str">
        <f>IF(TITLE_NUMBER_PR_CHANGE="",IF(TITLE_NUMBER_PR="","",TITLE_NUMBER_PR),TITLE_NUMBER_PR_CHANGE)</f>
        <v/>
      </c>
      <c r="W33" s="2271"/>
      <c r="X33" s="2271"/>
      <c r="Y33" s="2271"/>
      <c r="Z33" s="2271"/>
      <c r="AA33" s="2271"/>
      <c r="AB33" s="333"/>
      <c r="AC33" s="2271" t="str">
        <f>IF(TITLE_NUMBER_PR_CHANGE="",IF(TITLE_NUMBER_PR="","",TITLE_NUMBER_PR),TITLE_NUMBER_PR_CHANGE)</f>
        <v/>
      </c>
      <c r="AD33" s="2271"/>
      <c r="AE33" s="2271"/>
      <c r="AF33" s="2271"/>
      <c r="AG33" s="2271"/>
      <c r="AH33" s="2271"/>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426</v>
      </c>
      <c r="AC34" s="333"/>
      <c r="AD34" s="333"/>
      <c r="AE34" s="333"/>
      <c r="AF34" s="333"/>
      <c r="AG34" s="333"/>
      <c r="AH34" s="333"/>
      <c r="AI34" s="285" t="s">
        <v>426</v>
      </c>
      <c r="AL34" s="375"/>
      <c r="AM34" s="375"/>
      <c r="AN34" s="375"/>
      <c r="AO34" s="375"/>
      <c r="AP34" s="375"/>
      <c r="AQ34" s="425">
        <v>1</v>
      </c>
    </row>
    <row customHeight="1" ht="14.699999999999998">
      <c r="Q35" s="383"/>
      <c r="R35" s="383"/>
      <c r="S35" s="1282"/>
      <c r="T35" s="370"/>
      <c r="U35" s="1251"/>
      <c r="V35" s="2272"/>
      <c r="W35" s="2272"/>
      <c r="X35" s="2272"/>
      <c r="Y35" s="2272"/>
      <c r="Z35" s="2272"/>
      <c r="AA35" s="2272"/>
      <c r="AB35" s="2272"/>
      <c r="AC35" s="2272"/>
      <c r="AD35" s="2272"/>
      <c r="AE35" s="2272"/>
      <c r="AF35" s="2272"/>
      <c r="AG35" s="2272"/>
      <c r="AH35" s="2272"/>
      <c r="AI35" s="2272"/>
      <c r="AQ35" s="1162">
        <v>14</v>
      </c>
    </row>
    <row customHeight="1" ht="14.699999999999998">
      <c r="Q36" s="383"/>
      <c r="R36" s="383"/>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62">
        <v>14</v>
      </c>
    </row>
    <row customHeight="1" ht="14.699999999999998">
      <c r="Q37" s="383"/>
      <c r="R37" s="383"/>
      <c r="S37" s="2293" t="s">
        <v>87</v>
      </c>
      <c r="T37" s="2229" t="s">
        <v>427</v>
      </c>
      <c r="U37" s="308"/>
      <c r="V37" s="2294" t="s">
        <v>428</v>
      </c>
      <c r="W37" s="2295"/>
      <c r="X37" s="2295"/>
      <c r="Y37" s="2295"/>
      <c r="Z37" s="2295"/>
      <c r="AA37" s="2296"/>
      <c r="AB37" s="2297" t="s">
        <v>429</v>
      </c>
      <c r="AC37" s="2294" t="s">
        <v>428</v>
      </c>
      <c r="AD37" s="2295"/>
      <c r="AE37" s="2295"/>
      <c r="AF37" s="2295"/>
      <c r="AG37" s="2295"/>
      <c r="AH37" s="2296"/>
      <c r="AI37" s="2297" t="s">
        <v>430</v>
      </c>
      <c r="AJ37" s="2300" t="s">
        <v>431</v>
      </c>
      <c r="AK37" s="2147"/>
      <c r="AQ37" s="1162">
        <v>14</v>
      </c>
    </row>
    <row customHeight="1" ht="35.699999999999996">
      <c r="Q38" s="383"/>
      <c r="R38" s="383"/>
      <c r="S38" s="2293"/>
      <c r="T38" s="2229"/>
      <c r="U38" s="1038"/>
      <c r="V38" s="1459" t="s">
        <v>488</v>
      </c>
      <c r="W38" s="2282" t="s">
        <v>434</v>
      </c>
      <c r="X38" s="2283"/>
      <c r="Y38" s="2282" t="s">
        <v>435</v>
      </c>
      <c r="Z38" s="2289"/>
      <c r="AA38" s="2283"/>
      <c r="AB38" s="2298"/>
      <c r="AC38" s="1459" t="s">
        <v>488</v>
      </c>
      <c r="AD38" s="2282" t="s">
        <v>434</v>
      </c>
      <c r="AE38" s="2283"/>
      <c r="AF38" s="2282" t="s">
        <v>435</v>
      </c>
      <c r="AG38" s="2289"/>
      <c r="AH38" s="2283"/>
      <c r="AI38" s="2298"/>
      <c r="AJ38" s="2301"/>
      <c r="AK38" s="2147"/>
      <c r="AQ38" s="1162">
        <v>34</v>
      </c>
    </row>
    <row customHeight="1" ht="35.699999999999996">
      <c r="A39" s="1377"/>
      <c r="B39" s="1377" t="s">
        <v>136</v>
      </c>
      <c r="C39" s="1377" t="s">
        <v>137</v>
      </c>
      <c r="D39" s="1377" t="s">
        <v>138</v>
      </c>
      <c r="E39" s="1371" t="s">
        <v>436</v>
      </c>
      <c r="F39" s="1371" t="s">
        <v>437</v>
      </c>
      <c r="G39" s="1371" t="s">
        <v>438</v>
      </c>
      <c r="H39" s="1371"/>
      <c r="I39" s="1371" t="s">
        <v>489</v>
      </c>
      <c r="J39" s="1371" t="s">
        <v>441</v>
      </c>
      <c r="K39" s="1371" t="s">
        <v>490</v>
      </c>
      <c r="L39" s="1371" t="s">
        <v>417</v>
      </c>
      <c r="Q39" s="383"/>
      <c r="R39" s="383"/>
      <c r="S39" s="2293"/>
      <c r="T39" s="2229"/>
      <c r="U39" s="309"/>
      <c r="V39" s="1459" t="s">
        <v>491</v>
      </c>
      <c r="W39" s="1229" t="s">
        <v>492</v>
      </c>
      <c r="X39" s="1229" t="s">
        <v>493</v>
      </c>
      <c r="Y39" s="1462" t="s">
        <v>445</v>
      </c>
      <c r="Z39" s="2290" t="s">
        <v>446</v>
      </c>
      <c r="AA39" s="2291"/>
      <c r="AB39" s="2299"/>
      <c r="AC39" s="1459" t="s">
        <v>491</v>
      </c>
      <c r="AD39" s="1229" t="s">
        <v>492</v>
      </c>
      <c r="AE39" s="1229" t="s">
        <v>493</v>
      </c>
      <c r="AF39" s="1462" t="s">
        <v>445</v>
      </c>
      <c r="AG39" s="2290" t="s">
        <v>446</v>
      </c>
      <c r="AH39" s="2291"/>
      <c r="AI39" s="2299"/>
      <c r="AJ39" s="2302"/>
      <c r="AK39" s="2147"/>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92">
        <f>OFFSET(Z40,0,-1)+1</f>
        <v>7</v>
      </c>
      <c r="AA40" s="2292"/>
      <c r="AB40" s="1458">
        <f>OFFSET(AB40,0,-2)+1</f>
        <v>8</v>
      </c>
      <c r="AC40" s="1458">
        <f>OFFSET(AC40,0,-1)+1</f>
        <v>9</v>
      </c>
      <c r="AD40" s="1458">
        <f>OFFSET(AD40,0,-1)+1</f>
        <v>10</v>
      </c>
      <c r="AE40" s="1458">
        <f>OFFSET(AE40,0,-1)+1</f>
        <v>11</v>
      </c>
      <c r="AF40" s="1458">
        <f>OFFSET(AF40,0,-1)+1</f>
        <v>12</v>
      </c>
      <c r="AG40" s="2292">
        <f>OFFSET(AG40,0,-1)+1</f>
        <v>13</v>
      </c>
      <c r="AH40" s="2292"/>
      <c r="AI40" s="1458">
        <f>OFFSET(AI40,0,-2)+1</f>
        <v>14</v>
      </c>
      <c r="AJ40" s="1252">
        <f>OFFSET(AJ40,0,-1)</f>
        <v>14</v>
      </c>
      <c r="AK40" s="1458">
        <f>OFFSET(AK40,0,-1)+1</f>
        <v>15</v>
      </c>
      <c r="AL40" s="518"/>
      <c r="AM40" s="518"/>
      <c r="AN40" s="518"/>
      <c r="AO40" s="518"/>
      <c r="AP40" s="518"/>
      <c r="AQ40" s="503">
        <v>0</v>
      </c>
    </row>
    <row customHeight="1" ht="24">
      <c r="A41" s="1370" t="s">
        <v>230</v>
      </c>
      <c r="B41" s="1370"/>
      <c r="C41" s="1370"/>
      <c r="D41" s="1370"/>
      <c r="E41" s="2278">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230</v>
      </c>
      <c r="B42" s="1370" t="s">
        <v>231</v>
      </c>
      <c r="C42" s="1370"/>
      <c r="D42" s="1370"/>
      <c r="E42" s="2279"/>
      <c r="F42" s="2278">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65" t="s">
        <v>397</v>
      </c>
      <c r="AM42" s="507"/>
      <c r="AN42" s="507" t="str">
        <f>IF(T42="","",T42)</f>
        <v>Территория действия тарифа</v>
      </c>
      <c r="AO42" s="507"/>
      <c r="AP42" s="507"/>
      <c r="AQ42" s="1162">
        <v>23</v>
      </c>
    </row>
    <row customHeight="1" ht="24">
      <c r="A43" s="1370" t="s">
        <v>230</v>
      </c>
      <c r="B43" s="1370" t="s">
        <v>231</v>
      </c>
      <c r="C43" s="1370" t="s">
        <v>232</v>
      </c>
      <c r="D43" s="1370"/>
      <c r="E43" s="2279"/>
      <c r="F43" s="2279"/>
      <c r="G43" s="2278">
        <v>1</v>
      </c>
      <c r="H43" s="1370"/>
      <c r="I43" s="1370"/>
      <c r="J43" s="1370"/>
      <c r="K43" s="1370"/>
      <c r="L43" s="1371"/>
      <c r="M43" s="1372"/>
      <c r="N43" s="1372"/>
      <c r="O43" s="1372"/>
      <c r="P43" s="361"/>
      <c r="Q43" s="359"/>
      <c r="R43" s="360"/>
      <c r="S43" s="1464" t="str">
        <f>INDEX(PT_DIFFERENTIATION_NUM_CS,MATCH(C43,PT_DIFFERENTIATION_CS_ID,0))</f>
        <v>..</v>
      </c>
      <c r="T43" s="316" t="s">
        <v>480</v>
      </c>
      <c r="U43" s="307"/>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65" t="s">
        <v>481</v>
      </c>
      <c r="AM43" s="507"/>
      <c r="AN43" s="507" t="str">
        <f>IF(T43="","",T43)</f>
        <v>Наименование централизованной системы холодного водоснабжения</v>
      </c>
      <c r="AO43" s="507"/>
      <c r="AP43" s="507"/>
      <c r="AQ43" s="1162">
        <v>23</v>
      </c>
    </row>
    <row customHeight="1" ht="24">
      <c r="A44" s="1370" t="s">
        <v>230</v>
      </c>
      <c r="B44" s="1370" t="s">
        <v>231</v>
      </c>
      <c r="C44" s="1370" t="s">
        <v>232</v>
      </c>
      <c r="D44" s="1370" t="s">
        <v>495</v>
      </c>
      <c r="E44" s="2279"/>
      <c r="F44" s="2279"/>
      <c r="G44" s="2279"/>
      <c r="H44" s="2279"/>
      <c r="I44" s="2276" t="str">
        <f>S43&amp;".1"</f>
        <v>...1</v>
      </c>
      <c r="J44" s="1370"/>
      <c r="K44" s="1370"/>
      <c r="L44" s="1371"/>
      <c r="P44" s="2277">
        <v>1</v>
      </c>
      <c r="Q44" s="1457"/>
      <c r="R44" s="363"/>
      <c r="S44" s="1464" t="str">
        <f>$I44</f>
        <v>...1</v>
      </c>
      <c r="T44" s="292" t="s">
        <v>482</v>
      </c>
      <c r="U44" s="307"/>
      <c r="V44" s="2370"/>
      <c r="W44" s="2371"/>
      <c r="X44" s="2371"/>
      <c r="Y44" s="2371"/>
      <c r="Z44" s="2371"/>
      <c r="AA44" s="2371"/>
      <c r="AB44" s="2372"/>
      <c r="AC44" s="2373"/>
      <c r="AD44" s="2374"/>
      <c r="AE44" s="2374"/>
      <c r="AF44" s="2374"/>
      <c r="AG44" s="2374"/>
      <c r="AH44" s="2374"/>
      <c r="AI44" s="2374"/>
      <c r="AJ44" s="2375"/>
      <c r="AK44" s="1265" t="s">
        <v>483</v>
      </c>
      <c r="AM44" s="507"/>
      <c r="AN44" s="507" t="str">
        <f>IF(T44="","",T44)</f>
        <v>Наименование признака дифференциации</v>
      </c>
      <c r="AO44" s="507"/>
      <c r="AP44" s="507"/>
      <c r="AQ44" s="1162">
        <v>23</v>
      </c>
    </row>
    <row customHeight="1" ht="24">
      <c r="A45" s="1370" t="s">
        <v>230</v>
      </c>
      <c r="B45" s="1370" t="s">
        <v>231</v>
      </c>
      <c r="C45" s="1370" t="s">
        <v>232</v>
      </c>
      <c r="D45" s="1370" t="s">
        <v>495</v>
      </c>
      <c r="E45" s="2279"/>
      <c r="F45" s="2279"/>
      <c r="G45" s="2279"/>
      <c r="H45" s="2279"/>
      <c r="I45" s="2306"/>
      <c r="J45" s="2276" t="str">
        <f>I44&amp;".1"</f>
        <v>...1.1</v>
      </c>
      <c r="K45" s="1370"/>
      <c r="L45" s="1371" t="s">
        <v>405</v>
      </c>
      <c r="P45" s="2277"/>
      <c r="Q45" s="2277">
        <v>1</v>
      </c>
      <c r="R45" s="364"/>
      <c r="S45" s="1464" t="str">
        <f>$J45</f>
        <v>...1.1</v>
      </c>
      <c r="T45" s="293" t="s">
        <v>406</v>
      </c>
      <c r="U45" s="307"/>
      <c r="V45" s="2265"/>
      <c r="W45" s="2266"/>
      <c r="X45" s="2266"/>
      <c r="Y45" s="2266"/>
      <c r="Z45" s="2266"/>
      <c r="AA45" s="2266"/>
      <c r="AB45" s="2267"/>
      <c r="AC45" s="2265"/>
      <c r="AD45" s="2266"/>
      <c r="AE45" s="2266"/>
      <c r="AF45" s="2266"/>
      <c r="AG45" s="2266"/>
      <c r="AH45" s="2266"/>
      <c r="AI45" s="2266"/>
      <c r="AJ45" s="2267"/>
      <c r="AK45" s="1314" t="s">
        <v>484</v>
      </c>
      <c r="AM45" s="507"/>
      <c r="AN45" s="507" t="str">
        <f>IF(T45="","",T45)</f>
        <v>Группа потребителей</v>
      </c>
      <c r="AO45" s="507"/>
      <c r="AP45" s="507"/>
      <c r="AQ45" s="1162">
        <v>23</v>
      </c>
    </row>
    <row customHeight="1" ht="24">
      <c r="A46" s="1370" t="s">
        <v>230</v>
      </c>
      <c r="B46" s="1370" t="s">
        <v>231</v>
      </c>
      <c r="C46" s="1370" t="s">
        <v>232</v>
      </c>
      <c r="D46" s="1370" t="s">
        <v>495</v>
      </c>
      <c r="E46" s="2279"/>
      <c r="F46" s="2279"/>
      <c r="G46" s="2279"/>
      <c r="H46" s="2279"/>
      <c r="I46" s="2306"/>
      <c r="J46" s="2306"/>
      <c r="K46" s="2276" t="str">
        <f>J45&amp;".1"</f>
        <v>...1.1.1</v>
      </c>
      <c r="L46" s="1371"/>
      <c r="P46" s="2277"/>
      <c r="Q46" s="2277"/>
      <c r="R46" s="364">
        <v>1</v>
      </c>
      <c r="S46" s="1464" t="str">
        <f>$K46</f>
        <v>...1.1.1</v>
      </c>
      <c r="T46" s="1444"/>
      <c r="U46" s="307"/>
      <c r="V46" s="758"/>
      <c r="W46" s="758"/>
      <c r="X46" s="1264"/>
      <c r="Y46" s="2285"/>
      <c r="Z46" s="2127" t="s">
        <v>61</v>
      </c>
      <c r="AA46" s="2285"/>
      <c r="AB46" s="2127" t="s">
        <v>61</v>
      </c>
      <c r="AC46" s="758"/>
      <c r="AD46" s="758"/>
      <c r="AE46" s="1264"/>
      <c r="AF46" s="2285"/>
      <c r="AG46" s="2127" t="s">
        <v>61</v>
      </c>
      <c r="AH46" s="2307"/>
      <c r="AI46" s="2127" t="s">
        <v>61</v>
      </c>
      <c r="AJ46" s="1445"/>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230</v>
      </c>
      <c r="B47" s="1370" t="s">
        <v>231</v>
      </c>
      <c r="C47" s="1370" t="s">
        <v>232</v>
      </c>
      <c r="D47" s="1370" t="s">
        <v>495</v>
      </c>
      <c r="E47" s="2279"/>
      <c r="F47" s="2279"/>
      <c r="G47" s="2279"/>
      <c r="H47" s="2279"/>
      <c r="I47" s="2306"/>
      <c r="J47" s="2306"/>
      <c r="K47" s="2276"/>
      <c r="L47" s="1371"/>
      <c r="P47" s="2277"/>
      <c r="Q47" s="2277"/>
      <c r="R47" s="364"/>
      <c r="S47" s="1463"/>
      <c r="T47" s="307"/>
      <c r="U47" s="307"/>
      <c r="V47" s="332"/>
      <c r="W47" s="332"/>
      <c r="X47" s="335" t="str">
        <f>Y46&amp;"-"&amp;AA46</f>
        <v>-</v>
      </c>
      <c r="Y47" s="2286"/>
      <c r="Z47" s="2127"/>
      <c r="AA47" s="2286"/>
      <c r="AB47" s="2127"/>
      <c r="AC47" s="332"/>
      <c r="AD47" s="332"/>
      <c r="AE47" s="335" t="str">
        <f>AF46&amp;"-"&amp;AH46</f>
        <v>-</v>
      </c>
      <c r="AF47" s="2286"/>
      <c r="AG47" s="2127"/>
      <c r="AH47" s="2308"/>
      <c r="AI47" s="2127"/>
      <c r="AJ47" s="1446"/>
      <c r="AK47" s="2369"/>
      <c r="AM47" s="507"/>
      <c r="AN47" s="507" t="str">
        <f>IF(T47="","",T47)</f>
        <v/>
      </c>
      <c r="AO47" s="507"/>
      <c r="AP47" s="507"/>
      <c r="AQ47" s="1162">
        <v>0</v>
      </c>
    </row>
    <row customHeight="1" ht="21">
      <c r="A48" s="1370" t="s">
        <v>230</v>
      </c>
      <c r="B48" s="1370" t="s">
        <v>231</v>
      </c>
      <c r="C48" s="1370" t="s">
        <v>232</v>
      </c>
      <c r="D48" s="1370" t="s">
        <v>495</v>
      </c>
      <c r="E48" s="2279"/>
      <c r="F48" s="2279"/>
      <c r="G48" s="2279"/>
      <c r="H48" s="2279"/>
      <c r="I48" s="2306"/>
      <c r="J48" s="2276"/>
      <c r="K48" s="1370"/>
      <c r="L48" s="1371"/>
      <c r="P48" s="2277"/>
      <c r="Q48" s="2277"/>
      <c r="R48" s="363"/>
      <c r="S48" s="1285"/>
      <c r="T48" s="294" t="s">
        <v>485</v>
      </c>
      <c r="U48" s="374"/>
      <c r="V48" s="374"/>
      <c r="W48" s="374"/>
      <c r="X48" s="374"/>
      <c r="Y48" s="374"/>
      <c r="Z48" s="374"/>
      <c r="AA48" s="374"/>
      <c r="AB48" s="374"/>
      <c r="AC48" s="374"/>
      <c r="AD48" s="374"/>
      <c r="AE48" s="374"/>
      <c r="AF48" s="374"/>
      <c r="AG48" s="374"/>
      <c r="AH48" s="374"/>
      <c r="AI48" s="374"/>
      <c r="AJ48" s="374"/>
      <c r="AK48" s="1265" t="s">
        <v>486</v>
      </c>
      <c r="AM48" s="507"/>
      <c r="AN48" s="507" t="str">
        <f>IF(T48="","",T48)</f>
        <v>Добавить значение признака дифференциации</v>
      </c>
      <c r="AO48" s="507"/>
      <c r="AP48" s="507"/>
      <c r="AQ48" s="1162">
        <v>20</v>
      </c>
    </row>
    <row customHeight="1" ht="22.049999999999997">
      <c r="A49" s="1370" t="s">
        <v>230</v>
      </c>
      <c r="B49" s="1370" t="s">
        <v>231</v>
      </c>
      <c r="C49" s="1370" t="s">
        <v>232</v>
      </c>
      <c r="D49" s="1370" t="s">
        <v>495</v>
      </c>
      <c r="E49" s="2279"/>
      <c r="F49" s="2279"/>
      <c r="G49" s="2279"/>
      <c r="H49" s="2279"/>
      <c r="I49" s="2276"/>
      <c r="J49" s="1370"/>
      <c r="K49" s="1370"/>
      <c r="L49" s="1371"/>
      <c r="P49" s="2277"/>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230</v>
      </c>
      <c r="B50" s="1370" t="s">
        <v>231</v>
      </c>
      <c r="C50" s="1370" t="s">
        <v>232</v>
      </c>
      <c r="D50" s="1370" t="s">
        <v>495</v>
      </c>
      <c r="E50" s="2279"/>
      <c r="F50" s="2279"/>
      <c r="G50" s="2279"/>
      <c r="H50" s="2278"/>
      <c r="I50" s="1370"/>
      <c r="J50" s="1370"/>
      <c r="K50" s="1370"/>
      <c r="L50" s="1371"/>
      <c r="M50" s="1372"/>
      <c r="N50" s="1372"/>
      <c r="O50" s="544"/>
      <c r="P50" s="367"/>
      <c r="Q50" s="382"/>
      <c r="R50" s="362"/>
      <c r="S50" s="1285"/>
      <c r="T50" s="379" t="s">
        <v>487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230</v>
      </c>
      <c r="B51" s="1350" t="s">
        <v>231</v>
      </c>
      <c r="C51" s="1321"/>
      <c r="D51" s="1321"/>
      <c r="E51" s="2279"/>
      <c r="F51" s="2278"/>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230</v>
      </c>
      <c r="B52" s="1350"/>
      <c r="C52" s="1350"/>
      <c r="D52" s="1350"/>
      <c r="E52" s="2278"/>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05"/>
      <c r="U55" s="2305"/>
      <c r="V55" s="2305"/>
      <c r="W55" s="2305"/>
      <c r="X55" s="2305"/>
      <c r="Y55" s="2305"/>
      <c r="Z55" s="2305"/>
      <c r="AA55" s="2305"/>
      <c r="AB55" s="2305"/>
      <c r="AC55" s="2305"/>
      <c r="AD55" s="2305"/>
      <c r="AE55" s="2305"/>
      <c r="AF55" s="2305"/>
      <c r="AG55" s="2305"/>
      <c r="AH55" s="2305"/>
      <c r="AI55" s="2305"/>
      <c r="AJ55" s="2305"/>
      <c r="AK55" s="2305"/>
      <c r="AQ55" s="1162">
        <v>14</v>
      </c>
    </row>
    <row customHeight="1" ht="14.699999999999998">
      <c r="O56" s="544"/>
      <c r="AQ56" s="1162">
        <v>14</v>
      </c>
    </row>
    <row customHeight="1" ht="14.699999999999998">
      <c r="O57" s="544"/>
      <c r="S57" s="1260"/>
      <c r="T57" s="2305"/>
      <c r="U57" s="2305"/>
      <c r="V57" s="2305"/>
      <c r="W57" s="2305"/>
      <c r="X57" s="2305"/>
      <c r="Y57" s="2305"/>
      <c r="Z57" s="2305"/>
      <c r="AA57" s="2305"/>
      <c r="AB57" s="2305"/>
      <c r="AC57" s="2305"/>
      <c r="AD57" s="2305"/>
      <c r="AE57" s="2305"/>
      <c r="AF57" s="2305"/>
      <c r="AG57" s="2305"/>
      <c r="AH57" s="2305"/>
      <c r="AI57" s="2305"/>
      <c r="AJ57" s="2305"/>
      <c r="AK57" s="2305"/>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551AA-12ED-0091-BD62-0.6F36AE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78">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62"/>
      <c r="W2" s="2263"/>
      <c r="X2" s="2263"/>
      <c r="Y2" s="2263"/>
      <c r="Z2" s="2263"/>
      <c r="AA2" s="2263"/>
      <c r="AB2" s="2264"/>
      <c r="AC2" s="2262">
        <f>INDEX(PT_DIFFERENTIATION_NTAR,MATCH(A2,PT_DIFFERENTIATION_NTAR_ID,0))</f>
      </c>
      <c r="AD2" s="2263"/>
      <c r="AE2" s="2263"/>
      <c r="AF2" s="2263"/>
      <c r="AG2" s="2263"/>
      <c r="AH2" s="2263"/>
      <c r="AI2" s="2263"/>
      <c r="AJ2" s="2264"/>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79"/>
      <c r="F3" s="2278">
        <v>1</v>
      </c>
      <c r="G3" s="1370"/>
      <c r="H3" s="1370"/>
      <c r="I3" s="1370"/>
      <c r="J3" s="1370"/>
      <c r="K3" s="1370"/>
      <c r="L3" s="1371"/>
      <c r="M3" s="1372"/>
      <c r="N3" s="1372"/>
      <c r="O3" s="1372"/>
      <c r="P3" s="1460"/>
      <c r="Q3" s="359"/>
      <c r="R3" s="360"/>
      <c r="S3" s="1464">
        <f>INDEX(PT_DIFFERENTIATION_NUM_TER,MATCH(B3,PT_DIFFERENTIATION_TER_ID,0))</f>
      </c>
      <c r="T3" s="315" t="s">
        <v>396</v>
      </c>
      <c r="U3" s="307"/>
      <c r="V3" s="2262"/>
      <c r="W3" s="2263"/>
      <c r="X3" s="2263"/>
      <c r="Y3" s="2263"/>
      <c r="Z3" s="2263"/>
      <c r="AA3" s="2263"/>
      <c r="AB3" s="2264"/>
      <c r="AC3" s="2262">
        <f>INDEX(PT_DIFFERENTIATION_TER,MATCH(B3,PT_DIFFERENTIATION_TER_ID,0))</f>
      </c>
      <c r="AD3" s="2263"/>
      <c r="AE3" s="2263"/>
      <c r="AF3" s="2263"/>
      <c r="AG3" s="2263"/>
      <c r="AH3" s="2263"/>
      <c r="AI3" s="2263"/>
      <c r="AJ3" s="2264"/>
      <c r="AK3" s="1265" t="s">
        <v>397</v>
      </c>
      <c r="AM3" s="507"/>
      <c r="AN3" s="507" t="str">
        <f>IF(T3="","",T3)</f>
        <v>Территория действия тарифа</v>
      </c>
      <c r="AO3" s="507"/>
      <c r="AP3" s="507"/>
      <c r="AQ3" s="1162">
        <v>0</v>
      </c>
    </row>
    <row customHeight="1" ht="23.25" hidden="1">
      <c r="A4" s="1370"/>
      <c r="B4" s="1370"/>
      <c r="C4" s="1370"/>
      <c r="D4" s="1370"/>
      <c r="E4" s="2279"/>
      <c r="F4" s="2279"/>
      <c r="G4" s="2278">
        <v>1</v>
      </c>
      <c r="H4" s="1370"/>
      <c r="I4" s="1370"/>
      <c r="J4" s="1370"/>
      <c r="K4" s="1370"/>
      <c r="L4" s="1371"/>
      <c r="M4" s="1372"/>
      <c r="N4" s="1372"/>
      <c r="O4" s="1372"/>
      <c r="P4" s="361"/>
      <c r="Q4" s="359"/>
      <c r="R4" s="360"/>
      <c r="S4" s="1464">
        <f>INDEX(PT_DIFFERENTIATION_NUM_CS,MATCH(C4,PT_DIFFERENTIATION_CS_ID,0))</f>
      </c>
      <c r="T4" s="316" t="s">
        <v>480</v>
      </c>
      <c r="U4" s="307"/>
      <c r="V4" s="2262"/>
      <c r="W4" s="2263"/>
      <c r="X4" s="2263"/>
      <c r="Y4" s="2263"/>
      <c r="Z4" s="2263"/>
      <c r="AA4" s="2263"/>
      <c r="AB4" s="2264"/>
      <c r="AC4" s="2262">
        <f>INDEX(PT_DIFFERENTIATION_CS,MATCH(C4,PT_DIFFERENTIATION_CS_ID,0))</f>
      </c>
      <c r="AD4" s="2263"/>
      <c r="AE4" s="2263"/>
      <c r="AF4" s="2263"/>
      <c r="AG4" s="2263"/>
      <c r="AH4" s="2263"/>
      <c r="AI4" s="2263"/>
      <c r="AJ4" s="2264"/>
      <c r="AK4" s="1265" t="s">
        <v>481</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79"/>
      <c r="F5" s="2279"/>
      <c r="G5" s="2279"/>
      <c r="H5" s="2279"/>
      <c r="I5" s="2276">
        <f>S4&amp;".1"</f>
      </c>
      <c r="J5" s="1370"/>
      <c r="K5" s="1370"/>
      <c r="L5" s="1371"/>
      <c r="P5" s="2277">
        <v>1</v>
      </c>
      <c r="Q5" s="1457"/>
      <c r="R5" s="363"/>
      <c r="S5" s="1464">
        <f>$I5</f>
      </c>
      <c r="T5" s="292" t="s">
        <v>482</v>
      </c>
      <c r="U5" s="307"/>
      <c r="V5" s="2370"/>
      <c r="W5" s="2371"/>
      <c r="X5" s="2371"/>
      <c r="Y5" s="2371"/>
      <c r="Z5" s="2371"/>
      <c r="AA5" s="2371"/>
      <c r="AB5" s="2372"/>
      <c r="AC5" s="2373"/>
      <c r="AD5" s="2374"/>
      <c r="AE5" s="2374"/>
      <c r="AF5" s="2374"/>
      <c r="AG5" s="2374"/>
      <c r="AH5" s="2374"/>
      <c r="AI5" s="2374"/>
      <c r="AJ5" s="2375"/>
      <c r="AK5" s="1265" t="s">
        <v>483</v>
      </c>
      <c r="AM5" s="507"/>
      <c r="AN5" s="507" t="str">
        <f>IF(T5="","",T5)</f>
        <v>Наименование признака дифференциации</v>
      </c>
      <c r="AO5" s="507"/>
      <c r="AP5" s="507"/>
      <c r="AQ5" s="1162">
        <v>0</v>
      </c>
    </row>
    <row customHeight="1" ht="23.25" hidden="1">
      <c r="A6" s="1370"/>
      <c r="B6" s="1370"/>
      <c r="C6" s="1370"/>
      <c r="D6" s="1370"/>
      <c r="E6" s="2279"/>
      <c r="F6" s="2279"/>
      <c r="G6" s="2279"/>
      <c r="H6" s="2279"/>
      <c r="I6" s="2306"/>
      <c r="J6" s="2276">
        <f>I5&amp;".1"</f>
      </c>
      <c r="K6" s="1370"/>
      <c r="L6" s="1371" t="s">
        <v>405</v>
      </c>
      <c r="P6" s="2277"/>
      <c r="Q6" s="2277">
        <v>1</v>
      </c>
      <c r="R6" s="364"/>
      <c r="S6" s="1464">
        <f>$J6</f>
      </c>
      <c r="T6" s="293" t="s">
        <v>406</v>
      </c>
      <c r="U6" s="307"/>
      <c r="V6" s="2265"/>
      <c r="W6" s="2266"/>
      <c r="X6" s="2266"/>
      <c r="Y6" s="2266"/>
      <c r="Z6" s="2266"/>
      <c r="AA6" s="2266"/>
      <c r="AB6" s="2267"/>
      <c r="AC6" s="2265"/>
      <c r="AD6" s="2266"/>
      <c r="AE6" s="2266"/>
      <c r="AF6" s="2266"/>
      <c r="AG6" s="2266"/>
      <c r="AH6" s="2266"/>
      <c r="AI6" s="2266"/>
      <c r="AJ6" s="2267"/>
      <c r="AK6" s="1314" t="s">
        <v>484</v>
      </c>
      <c r="AM6" s="507"/>
      <c r="AN6" s="507" t="str">
        <f>IF(T6="","",T6)</f>
        <v>Группа потребителей</v>
      </c>
      <c r="AO6" s="507"/>
      <c r="AP6" s="507"/>
      <c r="AQ6" s="1162">
        <v>0</v>
      </c>
    </row>
    <row customHeight="1" ht="23.25" hidden="1">
      <c r="A7" s="1370"/>
      <c r="B7" s="1370"/>
      <c r="C7" s="1370"/>
      <c r="D7" s="1370"/>
      <c r="E7" s="2279"/>
      <c r="F7" s="2279"/>
      <c r="G7" s="2279"/>
      <c r="H7" s="2279"/>
      <c r="I7" s="2306"/>
      <c r="J7" s="2306"/>
      <c r="K7" s="2276">
        <f>J6&amp;".1"</f>
      </c>
      <c r="L7" s="1371"/>
      <c r="P7" s="2277"/>
      <c r="Q7" s="2277"/>
      <c r="R7" s="364">
        <v>1</v>
      </c>
      <c r="S7" s="1464">
        <f>$K7</f>
      </c>
      <c r="T7" s="1444"/>
      <c r="U7" s="307"/>
      <c r="V7" s="758"/>
      <c r="W7" s="758"/>
      <c r="X7" s="1264"/>
      <c r="Y7" s="2285"/>
      <c r="Z7" s="2127" t="s">
        <v>61</v>
      </c>
      <c r="AA7" s="2285"/>
      <c r="AB7" s="2127" t="s">
        <v>61</v>
      </c>
      <c r="AC7" s="758"/>
      <c r="AD7" s="758"/>
      <c r="AE7" s="1264"/>
      <c r="AF7" s="2285"/>
      <c r="AG7" s="2127" t="s">
        <v>61</v>
      </c>
      <c r="AH7" s="2307"/>
      <c r="AI7" s="2127" t="s">
        <v>61</v>
      </c>
      <c r="AJ7" s="1445"/>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79"/>
      <c r="F8" s="2279"/>
      <c r="G8" s="2279"/>
      <c r="H8" s="2279"/>
      <c r="I8" s="2306"/>
      <c r="J8" s="2306"/>
      <c r="K8" s="2276"/>
      <c r="L8" s="1371"/>
      <c r="P8" s="2277"/>
      <c r="Q8" s="2277"/>
      <c r="R8" s="364"/>
      <c r="S8" s="1463"/>
      <c r="T8" s="307"/>
      <c r="U8" s="307"/>
      <c r="V8" s="332"/>
      <c r="W8" s="332"/>
      <c r="X8" s="335" t="str">
        <f>Y7&amp;"-"&amp;AA7</f>
        <v>-</v>
      </c>
      <c r="Y8" s="2286"/>
      <c r="Z8" s="2127"/>
      <c r="AA8" s="2286"/>
      <c r="AB8" s="2127"/>
      <c r="AC8" s="332"/>
      <c r="AD8" s="332"/>
      <c r="AE8" s="335" t="str">
        <f>AF7&amp;"-"&amp;AH7</f>
        <v>-</v>
      </c>
      <c r="AF8" s="2286"/>
      <c r="AG8" s="2127"/>
      <c r="AH8" s="2308"/>
      <c r="AI8" s="2127"/>
      <c r="AJ8" s="1446"/>
      <c r="AK8" s="2369"/>
      <c r="AM8" s="507"/>
      <c r="AN8" s="507" t="str">
        <f>IF(T8="","",T8)</f>
        <v/>
      </c>
      <c r="AO8" s="507"/>
      <c r="AP8" s="507"/>
      <c r="AQ8" s="1162">
        <v>0</v>
      </c>
    </row>
    <row customHeight="1" ht="21" hidden="1">
      <c r="A9" s="1370"/>
      <c r="B9" s="1370"/>
      <c r="C9" s="1370"/>
      <c r="D9" s="1370"/>
      <c r="E9" s="2279"/>
      <c r="F9" s="2279"/>
      <c r="G9" s="2279"/>
      <c r="H9" s="2279"/>
      <c r="I9" s="2306"/>
      <c r="J9" s="2276"/>
      <c r="K9" s="1370"/>
      <c r="L9" s="1371"/>
      <c r="P9" s="2277"/>
      <c r="Q9" s="2277"/>
      <c r="R9" s="363"/>
      <c r="S9" s="1285"/>
      <c r="T9" s="294" t="s">
        <v>485</v>
      </c>
      <c r="U9" s="374"/>
      <c r="V9" s="374"/>
      <c r="W9" s="374"/>
      <c r="X9" s="374"/>
      <c r="Y9" s="374"/>
      <c r="Z9" s="374"/>
      <c r="AA9" s="374"/>
      <c r="AB9" s="374"/>
      <c r="AC9" s="374"/>
      <c r="AD9" s="374"/>
      <c r="AE9" s="374"/>
      <c r="AF9" s="374"/>
      <c r="AG9" s="374"/>
      <c r="AH9" s="374"/>
      <c r="AI9" s="374"/>
      <c r="AJ9" s="374"/>
      <c r="AK9" s="1265" t="s">
        <v>486</v>
      </c>
      <c r="AM9" s="507"/>
      <c r="AN9" s="507" t="str">
        <f>IF(T9="","",T9)</f>
        <v>Добавить значение признака дифференциации</v>
      </c>
      <c r="AO9" s="507"/>
      <c r="AP9" s="507"/>
      <c r="AQ9" s="1162">
        <v>0</v>
      </c>
    </row>
    <row customHeight="1" ht="21" hidden="1">
      <c r="A10" s="1370"/>
      <c r="B10" s="1370"/>
      <c r="C10" s="1370"/>
      <c r="D10" s="1370"/>
      <c r="E10" s="2279"/>
      <c r="F10" s="2279"/>
      <c r="G10" s="2279"/>
      <c r="H10" s="2279"/>
      <c r="I10" s="2276"/>
      <c r="J10" s="1370"/>
      <c r="K10" s="1370"/>
      <c r="L10" s="1371"/>
      <c r="P10" s="2277"/>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79"/>
      <c r="F11" s="2279"/>
      <c r="G11" s="2279"/>
      <c r="H11" s="2278"/>
      <c r="I11" s="1370"/>
      <c r="J11" s="1370"/>
      <c r="K11" s="1370"/>
      <c r="L11" s="1371"/>
      <c r="M11" s="1372"/>
      <c r="N11" s="1372"/>
      <c r="O11" s="544"/>
      <c r="P11" s="367"/>
      <c r="Q11" s="382"/>
      <c r="R11" s="362"/>
      <c r="S11" s="1285"/>
      <c r="T11" s="379" t="s">
        <v>487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79"/>
      <c r="F12" s="2278"/>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78"/>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87"/>
      <c r="AG15" s="2288" t="s">
        <v>61</v>
      </c>
      <c r="AH15" s="2287"/>
      <c r="AI15" s="2288" t="s">
        <v>61</v>
      </c>
      <c r="AQ15" s="1162">
        <v>0</v>
      </c>
    </row>
    <row customHeight="1" ht="14.25" hidden="1">
      <c r="AC16" s="1367"/>
      <c r="AD16" s="1367"/>
      <c r="AE16" s="335" t="str">
        <f>AF15&amp;"-"&amp;AH15</f>
        <v>-</v>
      </c>
      <c r="AF16" s="2288"/>
      <c r="AG16" s="2288"/>
      <c r="AH16" s="2288"/>
      <c r="AI16" s="2288"/>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50"/>
      <c r="AQ24" s="1162">
        <v>14</v>
      </c>
    </row>
    <row customHeight="1" ht="14.699999999999998">
      <c r="Q25" s="383"/>
      <c r="R25" s="383"/>
      <c r="S25" s="2269" t="str">
        <f>IF(org=0,"Не определено",org)</f>
        <v>ИМУП «ПОСЖИЛКОМСЕРВИС»</v>
      </c>
      <c r="T25" s="2269"/>
      <c r="U25" s="2269"/>
      <c r="V25" s="2269"/>
      <c r="W25" s="2269"/>
      <c r="X25" s="2269"/>
      <c r="Y25" s="2269"/>
      <c r="Z25" s="2269"/>
      <c r="AA25" s="2269"/>
      <c r="AB25" s="2269"/>
      <c r="AC25" s="2269"/>
      <c r="AD25" s="2269"/>
      <c r="AE25" s="2269"/>
      <c r="AF25" s="2269"/>
      <c r="AG25" s="2269"/>
      <c r="AH25" s="2269"/>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0" t="s">
        <v>41</v>
      </c>
      <c r="T27" s="2270"/>
      <c r="U27" s="1379"/>
      <c r="V27" s="2271" t="str">
        <f>IF(TITLE_NAME_OR_PR_CHANGE="",IF(TITLE_NAME_OR_PR="","",TITLE_NAME_OR_PR),TITLE_NAME_OR_PR_CHANGE)</f>
        <v/>
      </c>
      <c r="W27" s="2271"/>
      <c r="X27" s="2271"/>
      <c r="Y27" s="2271"/>
      <c r="Z27" s="2271"/>
      <c r="AA27" s="2271"/>
      <c r="AB27" s="333"/>
      <c r="AC27" s="2271" t="str">
        <f>IF(TITLE_NAME_OR_PR_CHANGE="",IF(TITLE_NAME_OR_PR="","",TITLE_NAME_OR_PR),TITLE_NAME_OR_PR_CHANGE)</f>
        <v/>
      </c>
      <c r="AD27" s="2271"/>
      <c r="AE27" s="2271"/>
      <c r="AF27" s="2271"/>
      <c r="AG27" s="2271"/>
      <c r="AH27" s="2271"/>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0" t="s">
        <v>422</v>
      </c>
      <c r="T28" s="2270"/>
      <c r="U28" s="1379"/>
      <c r="V28" s="2284" t="str">
        <f>IF(TITLE_DATE_PR_CHANGE="",IF(TITLE_DATE_PR="","",TITLE_DATE_PR),TITLE_DATE_PR_CHANGE)</f>
        <v/>
      </c>
      <c r="W28" s="2284"/>
      <c r="X28" s="2284"/>
      <c r="Y28" s="2284"/>
      <c r="Z28" s="2284"/>
      <c r="AA28" s="2284"/>
      <c r="AB28" s="333"/>
      <c r="AC28" s="2284" t="str">
        <f>IF(TITLE_DATE_PR_CHANGE="",IF(TITLE_DATE_PR="","",TITLE_DATE_PR),TITLE_DATE_PR_CHANGE)</f>
        <v/>
      </c>
      <c r="AD28" s="2284"/>
      <c r="AE28" s="2284"/>
      <c r="AF28" s="2284"/>
      <c r="AG28" s="2284"/>
      <c r="AH28" s="2284"/>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0" t="s">
        <v>423</v>
      </c>
      <c r="T29" s="2270"/>
      <c r="U29" s="1379"/>
      <c r="V29" s="2271" t="str">
        <f>IF(TITLE_NUMBER_PR_CHANGE="",IF(TITLE_NUMBER_PR="","",TITLE_NUMBER_PR),TITLE_NUMBER_PR_CHANGE)</f>
        <v/>
      </c>
      <c r="W29" s="2271"/>
      <c r="X29" s="2271"/>
      <c r="Y29" s="2271"/>
      <c r="Z29" s="2271"/>
      <c r="AA29" s="2271"/>
      <c r="AB29" s="333"/>
      <c r="AC29" s="2271" t="str">
        <f>IF(TITLE_NUMBER_PR_CHANGE="",IF(TITLE_NUMBER_PR="","",TITLE_NUMBER_PR),TITLE_NUMBER_PR_CHANGE)</f>
        <v/>
      </c>
      <c r="AD29" s="2271"/>
      <c r="AE29" s="2271"/>
      <c r="AF29" s="2271"/>
      <c r="AG29" s="2271"/>
      <c r="AH29" s="2271"/>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v>
      </c>
      <c r="T30" s="2270"/>
      <c r="U30" s="1379"/>
      <c r="V30" s="2271" t="str">
        <f>IF(TITLE_IST_PUB_CHANGE="",IF(TITLE_IST_PUB="","",TITLE_IST_PUB),TITLE_IST_PUB_CHANGE)</f>
        <v/>
      </c>
      <c r="W30" s="2271"/>
      <c r="X30" s="2271"/>
      <c r="Y30" s="2271"/>
      <c r="Z30" s="2271"/>
      <c r="AA30" s="2271"/>
      <c r="AB30" s="333"/>
      <c r="AC30" s="2271" t="str">
        <f>IF(TITLE_IST_PUB_CHANGE="",IF(TITLE_IST_PUB="","",TITLE_IST_PUB),TITLE_IST_PUB_CHANGE)</f>
        <v/>
      </c>
      <c r="AD30" s="2271"/>
      <c r="AE30" s="2271"/>
      <c r="AF30" s="2271"/>
      <c r="AG30" s="2271"/>
      <c r="AH30" s="2271"/>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0" t="s">
        <v>424</v>
      </c>
      <c r="T32" s="2270"/>
      <c r="U32" s="1379"/>
      <c r="V32" s="2284" t="str">
        <f>IF(TITLE_DATE_PR_CHANGE="",IF(TITLE_DATE_PR="","",TITLE_DATE_PR),TITLE_DATE_PR_CHANGE)</f>
        <v/>
      </c>
      <c r="W32" s="2284"/>
      <c r="X32" s="2284"/>
      <c r="Y32" s="2284"/>
      <c r="Z32" s="2284"/>
      <c r="AA32" s="2284"/>
      <c r="AB32" s="333"/>
      <c r="AC32" s="2284" t="str">
        <f>IF(TITLE_DATE_PR_CHANGE="",IF(TITLE_DATE_PR="","",TITLE_DATE_PR),TITLE_DATE_PR_CHANGE)</f>
        <v/>
      </c>
      <c r="AD32" s="2284"/>
      <c r="AE32" s="2284"/>
      <c r="AF32" s="2284"/>
      <c r="AG32" s="2284"/>
      <c r="AH32" s="2284"/>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0" t="s">
        <v>425</v>
      </c>
      <c r="T33" s="2270"/>
      <c r="U33" s="1379"/>
      <c r="V33" s="2271" t="str">
        <f>IF(TITLE_NUMBER_PR_CHANGE="",IF(TITLE_NUMBER_PR="","",TITLE_NUMBER_PR),TITLE_NUMBER_PR_CHANGE)</f>
        <v/>
      </c>
      <c r="W33" s="2271"/>
      <c r="X33" s="2271"/>
      <c r="Y33" s="2271"/>
      <c r="Z33" s="2271"/>
      <c r="AA33" s="2271"/>
      <c r="AB33" s="333"/>
      <c r="AC33" s="2271" t="str">
        <f>IF(TITLE_NUMBER_PR_CHANGE="",IF(TITLE_NUMBER_PR="","",TITLE_NUMBER_PR),TITLE_NUMBER_PR_CHANGE)</f>
        <v/>
      </c>
      <c r="AD33" s="2271"/>
      <c r="AE33" s="2271"/>
      <c r="AF33" s="2271"/>
      <c r="AG33" s="2271"/>
      <c r="AH33" s="2271"/>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426</v>
      </c>
      <c r="AC34" s="333"/>
      <c r="AD34" s="333"/>
      <c r="AE34" s="333"/>
      <c r="AF34" s="333"/>
      <c r="AG34" s="333"/>
      <c r="AH34" s="333"/>
      <c r="AI34" s="285" t="s">
        <v>426</v>
      </c>
      <c r="AL34" s="375"/>
      <c r="AM34" s="375"/>
      <c r="AN34" s="375"/>
      <c r="AO34" s="375"/>
      <c r="AP34" s="375"/>
      <c r="AQ34" s="425">
        <v>1</v>
      </c>
    </row>
    <row customHeight="1" ht="14.699999999999998">
      <c r="Q35" s="383"/>
      <c r="R35" s="383"/>
      <c r="S35" s="1282"/>
      <c r="T35" s="370"/>
      <c r="U35" s="1251"/>
      <c r="V35" s="2272"/>
      <c r="W35" s="2272"/>
      <c r="X35" s="2272"/>
      <c r="Y35" s="2272"/>
      <c r="Z35" s="2272"/>
      <c r="AA35" s="2272"/>
      <c r="AB35" s="2272"/>
      <c r="AC35" s="2272"/>
      <c r="AD35" s="2272"/>
      <c r="AE35" s="2272"/>
      <c r="AF35" s="2272"/>
      <c r="AG35" s="2272"/>
      <c r="AH35" s="2272"/>
      <c r="AI35" s="2272"/>
      <c r="AQ35" s="1162">
        <v>14</v>
      </c>
    </row>
    <row customHeight="1" ht="14.699999999999998">
      <c r="Q36" s="383"/>
      <c r="R36" s="383"/>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62">
        <v>14</v>
      </c>
    </row>
    <row customHeight="1" ht="14.699999999999998">
      <c r="Q37" s="383"/>
      <c r="R37" s="383"/>
      <c r="S37" s="2293" t="s">
        <v>87</v>
      </c>
      <c r="T37" s="2229" t="s">
        <v>427</v>
      </c>
      <c r="U37" s="308"/>
      <c r="V37" s="2294" t="s">
        <v>428</v>
      </c>
      <c r="W37" s="2295"/>
      <c r="X37" s="2295"/>
      <c r="Y37" s="2295"/>
      <c r="Z37" s="2295"/>
      <c r="AA37" s="2296"/>
      <c r="AB37" s="2297" t="s">
        <v>429</v>
      </c>
      <c r="AC37" s="2294" t="s">
        <v>428</v>
      </c>
      <c r="AD37" s="2295"/>
      <c r="AE37" s="2295"/>
      <c r="AF37" s="2295"/>
      <c r="AG37" s="2295"/>
      <c r="AH37" s="2296"/>
      <c r="AI37" s="2297" t="s">
        <v>430</v>
      </c>
      <c r="AJ37" s="2300" t="s">
        <v>431</v>
      </c>
      <c r="AK37" s="2147"/>
      <c r="AQ37" s="1162">
        <v>14</v>
      </c>
    </row>
    <row customHeight="1" ht="35.699999999999996">
      <c r="Q38" s="383"/>
      <c r="R38" s="383"/>
      <c r="S38" s="2293"/>
      <c r="T38" s="2229"/>
      <c r="U38" s="1038"/>
      <c r="V38" s="1459" t="s">
        <v>488</v>
      </c>
      <c r="W38" s="2282" t="s">
        <v>434</v>
      </c>
      <c r="X38" s="2283"/>
      <c r="Y38" s="2282" t="s">
        <v>435</v>
      </c>
      <c r="Z38" s="2289"/>
      <c r="AA38" s="2283"/>
      <c r="AB38" s="2298"/>
      <c r="AC38" s="1459" t="s">
        <v>488</v>
      </c>
      <c r="AD38" s="2282" t="s">
        <v>434</v>
      </c>
      <c r="AE38" s="2283"/>
      <c r="AF38" s="2282" t="s">
        <v>435</v>
      </c>
      <c r="AG38" s="2289"/>
      <c r="AH38" s="2283"/>
      <c r="AI38" s="2298"/>
      <c r="AJ38" s="2301"/>
      <c r="AK38" s="2147"/>
      <c r="AQ38" s="1162">
        <v>34</v>
      </c>
    </row>
    <row customHeight="1" ht="35.699999999999996">
      <c r="A39" s="1377"/>
      <c r="B39" s="1377" t="s">
        <v>136</v>
      </c>
      <c r="C39" s="1377" t="s">
        <v>137</v>
      </c>
      <c r="D39" s="1377" t="s">
        <v>138</v>
      </c>
      <c r="E39" s="1371" t="s">
        <v>436</v>
      </c>
      <c r="F39" s="1371" t="s">
        <v>437</v>
      </c>
      <c r="G39" s="1371" t="s">
        <v>438</v>
      </c>
      <c r="H39" s="1371"/>
      <c r="I39" s="1371" t="s">
        <v>489</v>
      </c>
      <c r="J39" s="1371" t="s">
        <v>441</v>
      </c>
      <c r="K39" s="1371" t="s">
        <v>490</v>
      </c>
      <c r="L39" s="1371" t="s">
        <v>417</v>
      </c>
      <c r="Q39" s="383"/>
      <c r="R39" s="383"/>
      <c r="S39" s="2293"/>
      <c r="T39" s="2229"/>
      <c r="U39" s="309"/>
      <c r="V39" s="1459" t="s">
        <v>491</v>
      </c>
      <c r="W39" s="1229" t="s">
        <v>492</v>
      </c>
      <c r="X39" s="1229" t="s">
        <v>493</v>
      </c>
      <c r="Y39" s="1462" t="s">
        <v>445</v>
      </c>
      <c r="Z39" s="2290" t="s">
        <v>446</v>
      </c>
      <c r="AA39" s="2291"/>
      <c r="AB39" s="2299"/>
      <c r="AC39" s="1459" t="s">
        <v>491</v>
      </c>
      <c r="AD39" s="1229" t="s">
        <v>492</v>
      </c>
      <c r="AE39" s="1229" t="s">
        <v>493</v>
      </c>
      <c r="AF39" s="1462" t="s">
        <v>445</v>
      </c>
      <c r="AG39" s="2290" t="s">
        <v>446</v>
      </c>
      <c r="AH39" s="2291"/>
      <c r="AI39" s="2299"/>
      <c r="AJ39" s="2302"/>
      <c r="AK39" s="2147"/>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92">
        <f>OFFSET(Z40,0,-1)+1</f>
        <v>7</v>
      </c>
      <c r="AA40" s="2292"/>
      <c r="AB40" s="1458">
        <f>OFFSET(AB40,0,-2)+1</f>
        <v>8</v>
      </c>
      <c r="AC40" s="1458">
        <f>OFFSET(AC40,0,-1)+1</f>
        <v>9</v>
      </c>
      <c r="AD40" s="1458">
        <f>OFFSET(AD40,0,-1)+1</f>
        <v>10</v>
      </c>
      <c r="AE40" s="1458">
        <f>OFFSET(AE40,0,-1)+1</f>
        <v>11</v>
      </c>
      <c r="AF40" s="1458">
        <f>OFFSET(AF40,0,-1)+1</f>
        <v>12</v>
      </c>
      <c r="AG40" s="2292">
        <f>OFFSET(AG40,0,-1)+1</f>
        <v>13</v>
      </c>
      <c r="AH40" s="2292"/>
      <c r="AI40" s="1458">
        <f>OFFSET(AI40,0,-2)+1</f>
        <v>14</v>
      </c>
      <c r="AJ40" s="1252">
        <f>OFFSET(AJ40,0,-1)</f>
        <v>14</v>
      </c>
      <c r="AK40" s="1458">
        <f>OFFSET(AK40,0,-1)+1</f>
        <v>15</v>
      </c>
      <c r="AL40" s="518"/>
      <c r="AM40" s="518"/>
      <c r="AN40" s="518"/>
      <c r="AO40" s="518"/>
      <c r="AP40" s="518"/>
      <c r="AQ40" s="503">
        <v>0</v>
      </c>
    </row>
    <row customHeight="1" ht="24">
      <c r="A41" s="1370" t="s">
        <v>235</v>
      </c>
      <c r="B41" s="1370"/>
      <c r="C41" s="1370"/>
      <c r="D41" s="1370"/>
      <c r="E41" s="2278">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235</v>
      </c>
      <c r="B42" s="1370" t="s">
        <v>236</v>
      </c>
      <c r="C42" s="1370"/>
      <c r="D42" s="1370"/>
      <c r="E42" s="2279"/>
      <c r="F42" s="2278">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65" t="s">
        <v>397</v>
      </c>
      <c r="AM42" s="507"/>
      <c r="AN42" s="507" t="str">
        <f>IF(T42="","",T42)</f>
        <v>Территория действия тарифа</v>
      </c>
      <c r="AO42" s="507"/>
      <c r="AP42" s="507"/>
      <c r="AQ42" s="1162">
        <v>23</v>
      </c>
    </row>
    <row customHeight="1" ht="24">
      <c r="A43" s="1370" t="s">
        <v>235</v>
      </c>
      <c r="B43" s="1370" t="s">
        <v>236</v>
      </c>
      <c r="C43" s="1370" t="s">
        <v>237</v>
      </c>
      <c r="D43" s="1370"/>
      <c r="E43" s="2279"/>
      <c r="F43" s="2279"/>
      <c r="G43" s="2278">
        <v>1</v>
      </c>
      <c r="H43" s="1370"/>
      <c r="I43" s="1370"/>
      <c r="J43" s="1370"/>
      <c r="K43" s="1370"/>
      <c r="L43" s="1371"/>
      <c r="M43" s="1372"/>
      <c r="N43" s="1372"/>
      <c r="O43" s="1372"/>
      <c r="P43" s="361"/>
      <c r="Q43" s="359"/>
      <c r="R43" s="360"/>
      <c r="S43" s="1464" t="str">
        <f>INDEX(PT_DIFFERENTIATION_NUM_CS,MATCH(C43,PT_DIFFERENTIATION_CS_ID,0))</f>
        <v>..</v>
      </c>
      <c r="T43" s="316" t="s">
        <v>480</v>
      </c>
      <c r="U43" s="307"/>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65" t="s">
        <v>481</v>
      </c>
      <c r="AM43" s="507"/>
      <c r="AN43" s="507" t="str">
        <f>IF(T43="","",T43)</f>
        <v>Наименование централизованной системы холодного водоснабжения</v>
      </c>
      <c r="AO43" s="507"/>
      <c r="AP43" s="507"/>
      <c r="AQ43" s="1162">
        <v>23</v>
      </c>
    </row>
    <row customHeight="1" ht="24">
      <c r="A44" s="1370" t="s">
        <v>235</v>
      </c>
      <c r="B44" s="1370" t="s">
        <v>236</v>
      </c>
      <c r="C44" s="1370" t="s">
        <v>237</v>
      </c>
      <c r="D44" s="1370" t="s">
        <v>496</v>
      </c>
      <c r="E44" s="2279"/>
      <c r="F44" s="2279"/>
      <c r="G44" s="2279"/>
      <c r="H44" s="2279"/>
      <c r="I44" s="2276" t="str">
        <f>S43&amp;".1"</f>
        <v>...1</v>
      </c>
      <c r="J44" s="1370"/>
      <c r="K44" s="1370"/>
      <c r="L44" s="1371"/>
      <c r="P44" s="2277">
        <v>1</v>
      </c>
      <c r="Q44" s="1457"/>
      <c r="R44" s="363"/>
      <c r="S44" s="1464" t="str">
        <f>$I44</f>
        <v>...1</v>
      </c>
      <c r="T44" s="292" t="s">
        <v>482</v>
      </c>
      <c r="U44" s="307"/>
      <c r="V44" s="2370"/>
      <c r="W44" s="2371"/>
      <c r="X44" s="2371"/>
      <c r="Y44" s="2371"/>
      <c r="Z44" s="2371"/>
      <c r="AA44" s="2371"/>
      <c r="AB44" s="2372"/>
      <c r="AC44" s="2373"/>
      <c r="AD44" s="2374"/>
      <c r="AE44" s="2374"/>
      <c r="AF44" s="2374"/>
      <c r="AG44" s="2374"/>
      <c r="AH44" s="2374"/>
      <c r="AI44" s="2374"/>
      <c r="AJ44" s="2375"/>
      <c r="AK44" s="1265" t="s">
        <v>483</v>
      </c>
      <c r="AM44" s="507"/>
      <c r="AN44" s="507" t="str">
        <f>IF(T44="","",T44)</f>
        <v>Наименование признака дифференциации</v>
      </c>
      <c r="AO44" s="507"/>
      <c r="AP44" s="507"/>
      <c r="AQ44" s="1162">
        <v>23</v>
      </c>
    </row>
    <row customHeight="1" ht="24">
      <c r="A45" s="1370" t="s">
        <v>235</v>
      </c>
      <c r="B45" s="1370" t="s">
        <v>236</v>
      </c>
      <c r="C45" s="1370" t="s">
        <v>237</v>
      </c>
      <c r="D45" s="1370" t="s">
        <v>496</v>
      </c>
      <c r="E45" s="2279"/>
      <c r="F45" s="2279"/>
      <c r="G45" s="2279"/>
      <c r="H45" s="2279"/>
      <c r="I45" s="2306"/>
      <c r="J45" s="2276" t="str">
        <f>I44&amp;".1"</f>
        <v>...1.1</v>
      </c>
      <c r="K45" s="1370"/>
      <c r="L45" s="1371" t="s">
        <v>405</v>
      </c>
      <c r="P45" s="2277"/>
      <c r="Q45" s="2277">
        <v>1</v>
      </c>
      <c r="R45" s="364"/>
      <c r="S45" s="1464" t="str">
        <f>$J45</f>
        <v>...1.1</v>
      </c>
      <c r="T45" s="293" t="s">
        <v>406</v>
      </c>
      <c r="U45" s="307"/>
      <c r="V45" s="2265"/>
      <c r="W45" s="2266"/>
      <c r="X45" s="2266"/>
      <c r="Y45" s="2266"/>
      <c r="Z45" s="2266"/>
      <c r="AA45" s="2266"/>
      <c r="AB45" s="2267"/>
      <c r="AC45" s="2265"/>
      <c r="AD45" s="2266"/>
      <c r="AE45" s="2266"/>
      <c r="AF45" s="2266"/>
      <c r="AG45" s="2266"/>
      <c r="AH45" s="2266"/>
      <c r="AI45" s="2266"/>
      <c r="AJ45" s="2267"/>
      <c r="AK45" s="1314" t="s">
        <v>484</v>
      </c>
      <c r="AM45" s="507"/>
      <c r="AN45" s="507" t="str">
        <f>IF(T45="","",T45)</f>
        <v>Группа потребителей</v>
      </c>
      <c r="AO45" s="507"/>
      <c r="AP45" s="507"/>
      <c r="AQ45" s="1162">
        <v>23</v>
      </c>
    </row>
    <row customHeight="1" ht="24">
      <c r="A46" s="1370" t="s">
        <v>235</v>
      </c>
      <c r="B46" s="1370" t="s">
        <v>236</v>
      </c>
      <c r="C46" s="1370" t="s">
        <v>237</v>
      </c>
      <c r="D46" s="1370" t="s">
        <v>496</v>
      </c>
      <c r="E46" s="2279"/>
      <c r="F46" s="2279"/>
      <c r="G46" s="2279"/>
      <c r="H46" s="2279"/>
      <c r="I46" s="2306"/>
      <c r="J46" s="2306"/>
      <c r="K46" s="2276" t="str">
        <f>J45&amp;".1"</f>
        <v>...1.1.1</v>
      </c>
      <c r="L46" s="1371"/>
      <c r="P46" s="2277"/>
      <c r="Q46" s="2277"/>
      <c r="R46" s="364">
        <v>1</v>
      </c>
      <c r="S46" s="1464" t="str">
        <f>$K46</f>
        <v>...1.1.1</v>
      </c>
      <c r="T46" s="1444"/>
      <c r="U46" s="307"/>
      <c r="V46" s="758"/>
      <c r="W46" s="758"/>
      <c r="X46" s="1264"/>
      <c r="Y46" s="2285"/>
      <c r="Z46" s="2127" t="s">
        <v>61</v>
      </c>
      <c r="AA46" s="2285"/>
      <c r="AB46" s="2127" t="s">
        <v>61</v>
      </c>
      <c r="AC46" s="758"/>
      <c r="AD46" s="758"/>
      <c r="AE46" s="1264"/>
      <c r="AF46" s="2285"/>
      <c r="AG46" s="2127" t="s">
        <v>61</v>
      </c>
      <c r="AH46" s="2307"/>
      <c r="AI46" s="2127" t="s">
        <v>61</v>
      </c>
      <c r="AJ46" s="1445"/>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235</v>
      </c>
      <c r="B47" s="1370" t="s">
        <v>236</v>
      </c>
      <c r="C47" s="1370" t="s">
        <v>237</v>
      </c>
      <c r="D47" s="1370" t="s">
        <v>496</v>
      </c>
      <c r="E47" s="2279"/>
      <c r="F47" s="2279"/>
      <c r="G47" s="2279"/>
      <c r="H47" s="2279"/>
      <c r="I47" s="2306"/>
      <c r="J47" s="2306"/>
      <c r="K47" s="2276"/>
      <c r="L47" s="1371"/>
      <c r="P47" s="2277"/>
      <c r="Q47" s="2277"/>
      <c r="R47" s="364"/>
      <c r="S47" s="1463"/>
      <c r="T47" s="307"/>
      <c r="U47" s="307"/>
      <c r="V47" s="332"/>
      <c r="W47" s="332"/>
      <c r="X47" s="335" t="str">
        <f>Y46&amp;"-"&amp;AA46</f>
        <v>-</v>
      </c>
      <c r="Y47" s="2286"/>
      <c r="Z47" s="2127"/>
      <c r="AA47" s="2286"/>
      <c r="AB47" s="2127"/>
      <c r="AC47" s="332"/>
      <c r="AD47" s="332"/>
      <c r="AE47" s="335" t="str">
        <f>AF46&amp;"-"&amp;AH46</f>
        <v>-</v>
      </c>
      <c r="AF47" s="2286"/>
      <c r="AG47" s="2127"/>
      <c r="AH47" s="2308"/>
      <c r="AI47" s="2127"/>
      <c r="AJ47" s="1446"/>
      <c r="AK47" s="2369"/>
      <c r="AM47" s="507"/>
      <c r="AN47" s="507" t="str">
        <f>IF(T47="","",T47)</f>
        <v/>
      </c>
      <c r="AO47" s="507"/>
      <c r="AP47" s="507"/>
      <c r="AQ47" s="1162">
        <v>0</v>
      </c>
    </row>
    <row customHeight="1" ht="21">
      <c r="A48" s="1370" t="s">
        <v>235</v>
      </c>
      <c r="B48" s="1370" t="s">
        <v>236</v>
      </c>
      <c r="C48" s="1370" t="s">
        <v>237</v>
      </c>
      <c r="D48" s="1370" t="s">
        <v>496</v>
      </c>
      <c r="E48" s="2279"/>
      <c r="F48" s="2279"/>
      <c r="G48" s="2279"/>
      <c r="H48" s="2279"/>
      <c r="I48" s="2306"/>
      <c r="J48" s="2276"/>
      <c r="K48" s="1370"/>
      <c r="L48" s="1371"/>
      <c r="P48" s="2277"/>
      <c r="Q48" s="2277"/>
      <c r="R48" s="363"/>
      <c r="S48" s="1285"/>
      <c r="T48" s="294" t="s">
        <v>485</v>
      </c>
      <c r="U48" s="374"/>
      <c r="V48" s="374"/>
      <c r="W48" s="374"/>
      <c r="X48" s="374"/>
      <c r="Y48" s="374"/>
      <c r="Z48" s="374"/>
      <c r="AA48" s="374"/>
      <c r="AB48" s="374"/>
      <c r="AC48" s="374"/>
      <c r="AD48" s="374"/>
      <c r="AE48" s="374"/>
      <c r="AF48" s="374"/>
      <c r="AG48" s="374"/>
      <c r="AH48" s="374"/>
      <c r="AI48" s="374"/>
      <c r="AJ48" s="374"/>
      <c r="AK48" s="1265" t="s">
        <v>486</v>
      </c>
      <c r="AM48" s="507"/>
      <c r="AN48" s="507" t="str">
        <f>IF(T48="","",T48)</f>
        <v>Добавить значение признака дифференциации</v>
      </c>
      <c r="AO48" s="507"/>
      <c r="AP48" s="507"/>
      <c r="AQ48" s="1162">
        <v>20</v>
      </c>
    </row>
    <row customHeight="1" ht="22.049999999999997">
      <c r="A49" s="1370" t="s">
        <v>235</v>
      </c>
      <c r="B49" s="1370" t="s">
        <v>236</v>
      </c>
      <c r="C49" s="1370" t="s">
        <v>237</v>
      </c>
      <c r="D49" s="1370" t="s">
        <v>496</v>
      </c>
      <c r="E49" s="2279"/>
      <c r="F49" s="2279"/>
      <c r="G49" s="2279"/>
      <c r="H49" s="2279"/>
      <c r="I49" s="2276"/>
      <c r="J49" s="1370"/>
      <c r="K49" s="1370"/>
      <c r="L49" s="1371"/>
      <c r="P49" s="2277"/>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235</v>
      </c>
      <c r="B50" s="1370" t="s">
        <v>236</v>
      </c>
      <c r="C50" s="1370" t="s">
        <v>237</v>
      </c>
      <c r="D50" s="1370" t="s">
        <v>496</v>
      </c>
      <c r="E50" s="2279"/>
      <c r="F50" s="2279"/>
      <c r="G50" s="2279"/>
      <c r="H50" s="2278"/>
      <c r="I50" s="1370"/>
      <c r="J50" s="1370"/>
      <c r="K50" s="1370"/>
      <c r="L50" s="1371"/>
      <c r="M50" s="1372"/>
      <c r="N50" s="1372"/>
      <c r="O50" s="544"/>
      <c r="P50" s="367"/>
      <c r="Q50" s="382"/>
      <c r="R50" s="362"/>
      <c r="S50" s="1285"/>
      <c r="T50" s="379" t="s">
        <v>487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235</v>
      </c>
      <c r="B51" s="1350" t="s">
        <v>236</v>
      </c>
      <c r="C51" s="1321"/>
      <c r="D51" s="1321"/>
      <c r="E51" s="2279"/>
      <c r="F51" s="2278"/>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235</v>
      </c>
      <c r="B52" s="1350"/>
      <c r="C52" s="1350"/>
      <c r="D52" s="1350"/>
      <c r="E52" s="2278"/>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05"/>
      <c r="U55" s="2305"/>
      <c r="V55" s="2305"/>
      <c r="W55" s="2305"/>
      <c r="X55" s="2305"/>
      <c r="Y55" s="2305"/>
      <c r="Z55" s="2305"/>
      <c r="AA55" s="2305"/>
      <c r="AB55" s="2305"/>
      <c r="AC55" s="2305"/>
      <c r="AD55" s="2305"/>
      <c r="AE55" s="2305"/>
      <c r="AF55" s="2305"/>
      <c r="AG55" s="2305"/>
      <c r="AH55" s="2305"/>
      <c r="AI55" s="2305"/>
      <c r="AJ55" s="2305"/>
      <c r="AK55" s="2305"/>
      <c r="AQ55" s="1162">
        <v>14</v>
      </c>
    </row>
    <row customHeight="1" ht="14.699999999999998">
      <c r="O56" s="544"/>
      <c r="AQ56" s="1162">
        <v>14</v>
      </c>
    </row>
    <row customHeight="1" ht="14.699999999999998">
      <c r="O57" s="544"/>
      <c r="S57" s="1260"/>
      <c r="T57" s="2305"/>
      <c r="U57" s="2305"/>
      <c r="V57" s="2305"/>
      <c r="W57" s="2305"/>
      <c r="X57" s="2305"/>
      <c r="Y57" s="2305"/>
      <c r="Z57" s="2305"/>
      <c r="AA57" s="2305"/>
      <c r="AB57" s="2305"/>
      <c r="AC57" s="2305"/>
      <c r="AD57" s="2305"/>
      <c r="AE57" s="2305"/>
      <c r="AF57" s="2305"/>
      <c r="AG57" s="2305"/>
      <c r="AH57" s="2305"/>
      <c r="AI57" s="2305"/>
      <c r="AJ57" s="2305"/>
      <c r="AK57" s="2305"/>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5A52C-0332-8A8E-1ECD-0.92F8208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78">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62"/>
      <c r="W2" s="2263"/>
      <c r="X2" s="2263"/>
      <c r="Y2" s="2263"/>
      <c r="Z2" s="2263"/>
      <c r="AA2" s="2263"/>
      <c r="AB2" s="2264"/>
      <c r="AC2" s="2262">
        <f>INDEX(PT_DIFFERENTIATION_NTAR,MATCH(A2,PT_DIFFERENTIATION_NTAR_ID,0))</f>
      </c>
      <c r="AD2" s="2263"/>
      <c r="AE2" s="2263"/>
      <c r="AF2" s="2263"/>
      <c r="AG2" s="2263"/>
      <c r="AH2" s="2263"/>
      <c r="AI2" s="2263"/>
      <c r="AJ2" s="2264"/>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79"/>
      <c r="F3" s="2278">
        <v>1</v>
      </c>
      <c r="G3" s="1370"/>
      <c r="H3" s="1370"/>
      <c r="I3" s="1370"/>
      <c r="J3" s="1370"/>
      <c r="K3" s="1370"/>
      <c r="L3" s="1371"/>
      <c r="M3" s="1372"/>
      <c r="N3" s="1372"/>
      <c r="O3" s="1372"/>
      <c r="P3" s="1460"/>
      <c r="Q3" s="359"/>
      <c r="R3" s="360"/>
      <c r="S3" s="1464">
        <f>INDEX(PT_DIFFERENTIATION_NUM_TER,MATCH(B3,PT_DIFFERENTIATION_TER_ID,0))</f>
      </c>
      <c r="T3" s="315" t="s">
        <v>396</v>
      </c>
      <c r="U3" s="307"/>
      <c r="V3" s="2262"/>
      <c r="W3" s="2263"/>
      <c r="X3" s="2263"/>
      <c r="Y3" s="2263"/>
      <c r="Z3" s="2263"/>
      <c r="AA3" s="2263"/>
      <c r="AB3" s="2264"/>
      <c r="AC3" s="2262">
        <f>INDEX(PT_DIFFERENTIATION_TER,MATCH(B3,PT_DIFFERENTIATION_TER_ID,0))</f>
      </c>
      <c r="AD3" s="2263"/>
      <c r="AE3" s="2263"/>
      <c r="AF3" s="2263"/>
      <c r="AG3" s="2263"/>
      <c r="AH3" s="2263"/>
      <c r="AI3" s="2263"/>
      <c r="AJ3" s="2264"/>
      <c r="AK3" s="1265" t="s">
        <v>397</v>
      </c>
      <c r="AM3" s="507"/>
      <c r="AN3" s="507" t="str">
        <f>IF(T3="","",T3)</f>
        <v>Территория действия тарифа</v>
      </c>
      <c r="AO3" s="507"/>
      <c r="AP3" s="507"/>
      <c r="AQ3" s="1162">
        <v>0</v>
      </c>
    </row>
    <row customHeight="1" ht="23.25" hidden="1">
      <c r="A4" s="1370"/>
      <c r="B4" s="1370"/>
      <c r="C4" s="1370"/>
      <c r="D4" s="1370"/>
      <c r="E4" s="2279"/>
      <c r="F4" s="2279"/>
      <c r="G4" s="2278">
        <v>1</v>
      </c>
      <c r="H4" s="1370"/>
      <c r="I4" s="1370"/>
      <c r="J4" s="1370"/>
      <c r="K4" s="1370"/>
      <c r="L4" s="1371"/>
      <c r="M4" s="1372"/>
      <c r="N4" s="1372"/>
      <c r="O4" s="1372"/>
      <c r="P4" s="361"/>
      <c r="Q4" s="359"/>
      <c r="R4" s="360"/>
      <c r="S4" s="1464">
        <f>INDEX(PT_DIFFERENTIATION_NUM_CS,MATCH(C4,PT_DIFFERENTIATION_CS_ID,0))</f>
      </c>
      <c r="T4" s="316" t="s">
        <v>480</v>
      </c>
      <c r="U4" s="307"/>
      <c r="V4" s="2262"/>
      <c r="W4" s="2263"/>
      <c r="X4" s="2263"/>
      <c r="Y4" s="2263"/>
      <c r="Z4" s="2263"/>
      <c r="AA4" s="2263"/>
      <c r="AB4" s="2264"/>
      <c r="AC4" s="2262">
        <f>INDEX(PT_DIFFERENTIATION_CS,MATCH(C4,PT_DIFFERENTIATION_CS_ID,0))</f>
      </c>
      <c r="AD4" s="2263"/>
      <c r="AE4" s="2263"/>
      <c r="AF4" s="2263"/>
      <c r="AG4" s="2263"/>
      <c r="AH4" s="2263"/>
      <c r="AI4" s="2263"/>
      <c r="AJ4" s="2264"/>
      <c r="AK4" s="1265" t="s">
        <v>481</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79"/>
      <c r="F5" s="2279"/>
      <c r="G5" s="2279"/>
      <c r="H5" s="2279"/>
      <c r="I5" s="2276">
        <f>S4&amp;".1"</f>
      </c>
      <c r="J5" s="1370"/>
      <c r="K5" s="1370"/>
      <c r="L5" s="1371"/>
      <c r="P5" s="2277">
        <v>1</v>
      </c>
      <c r="Q5" s="1457"/>
      <c r="R5" s="363"/>
      <c r="S5" s="1464">
        <f>$I5</f>
      </c>
      <c r="T5" s="292" t="s">
        <v>482</v>
      </c>
      <c r="U5" s="307"/>
      <c r="V5" s="2370"/>
      <c r="W5" s="2371"/>
      <c r="X5" s="2371"/>
      <c r="Y5" s="2371"/>
      <c r="Z5" s="2371"/>
      <c r="AA5" s="2371"/>
      <c r="AB5" s="2372"/>
      <c r="AC5" s="2373"/>
      <c r="AD5" s="2374"/>
      <c r="AE5" s="2374"/>
      <c r="AF5" s="2374"/>
      <c r="AG5" s="2374"/>
      <c r="AH5" s="2374"/>
      <c r="AI5" s="2374"/>
      <c r="AJ5" s="2375"/>
      <c r="AK5" s="1265" t="s">
        <v>483</v>
      </c>
      <c r="AM5" s="507"/>
      <c r="AN5" s="507" t="str">
        <f>IF(T5="","",T5)</f>
        <v>Наименование признака дифференциации</v>
      </c>
      <c r="AO5" s="507"/>
      <c r="AP5" s="507"/>
      <c r="AQ5" s="1162">
        <v>0</v>
      </c>
    </row>
    <row customHeight="1" ht="23.25" hidden="1">
      <c r="A6" s="1370"/>
      <c r="B6" s="1370"/>
      <c r="C6" s="1370"/>
      <c r="D6" s="1370"/>
      <c r="E6" s="2279"/>
      <c r="F6" s="2279"/>
      <c r="G6" s="2279"/>
      <c r="H6" s="2279"/>
      <c r="I6" s="2306"/>
      <c r="J6" s="2276">
        <f>I5&amp;".1"</f>
      </c>
      <c r="K6" s="1370"/>
      <c r="L6" s="1371" t="s">
        <v>405</v>
      </c>
      <c r="P6" s="2277"/>
      <c r="Q6" s="2277">
        <v>1</v>
      </c>
      <c r="R6" s="364"/>
      <c r="S6" s="1464">
        <f>$J6</f>
      </c>
      <c r="T6" s="293" t="s">
        <v>406</v>
      </c>
      <c r="U6" s="307"/>
      <c r="V6" s="2265"/>
      <c r="W6" s="2266"/>
      <c r="X6" s="2266"/>
      <c r="Y6" s="2266"/>
      <c r="Z6" s="2266"/>
      <c r="AA6" s="2266"/>
      <c r="AB6" s="2267"/>
      <c r="AC6" s="2265"/>
      <c r="AD6" s="2266"/>
      <c r="AE6" s="2266"/>
      <c r="AF6" s="2266"/>
      <c r="AG6" s="2266"/>
      <c r="AH6" s="2266"/>
      <c r="AI6" s="2266"/>
      <c r="AJ6" s="2267"/>
      <c r="AK6" s="1314" t="s">
        <v>484</v>
      </c>
      <c r="AM6" s="507"/>
      <c r="AN6" s="507" t="str">
        <f>IF(T6="","",T6)</f>
        <v>Группа потребителей</v>
      </c>
      <c r="AO6" s="507"/>
      <c r="AP6" s="507"/>
      <c r="AQ6" s="1162">
        <v>0</v>
      </c>
    </row>
    <row customHeight="1" ht="23.25" hidden="1">
      <c r="A7" s="1370"/>
      <c r="B7" s="1370"/>
      <c r="C7" s="1370"/>
      <c r="D7" s="1370"/>
      <c r="E7" s="2279"/>
      <c r="F7" s="2279"/>
      <c r="G7" s="2279"/>
      <c r="H7" s="2279"/>
      <c r="I7" s="2306"/>
      <c r="J7" s="2306"/>
      <c r="K7" s="2276">
        <f>J6&amp;".1"</f>
      </c>
      <c r="L7" s="1371"/>
      <c r="P7" s="2277"/>
      <c r="Q7" s="2277"/>
      <c r="R7" s="364">
        <v>1</v>
      </c>
      <c r="S7" s="1464">
        <f>$K7</f>
      </c>
      <c r="T7" s="1444"/>
      <c r="U7" s="307"/>
      <c r="V7" s="758"/>
      <c r="W7" s="758"/>
      <c r="X7" s="1264"/>
      <c r="Y7" s="2285"/>
      <c r="Z7" s="2127" t="s">
        <v>61</v>
      </c>
      <c r="AA7" s="2285"/>
      <c r="AB7" s="2127" t="s">
        <v>61</v>
      </c>
      <c r="AC7" s="758"/>
      <c r="AD7" s="758"/>
      <c r="AE7" s="1264"/>
      <c r="AF7" s="2285"/>
      <c r="AG7" s="2127" t="s">
        <v>61</v>
      </c>
      <c r="AH7" s="2307"/>
      <c r="AI7" s="2127" t="s">
        <v>61</v>
      </c>
      <c r="AJ7" s="1445"/>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79"/>
      <c r="F8" s="2279"/>
      <c r="G8" s="2279"/>
      <c r="H8" s="2279"/>
      <c r="I8" s="2306"/>
      <c r="J8" s="2306"/>
      <c r="K8" s="2276"/>
      <c r="L8" s="1371"/>
      <c r="P8" s="2277"/>
      <c r="Q8" s="2277"/>
      <c r="R8" s="364"/>
      <c r="S8" s="1463"/>
      <c r="T8" s="307"/>
      <c r="U8" s="307"/>
      <c r="V8" s="332"/>
      <c r="W8" s="332"/>
      <c r="X8" s="335" t="str">
        <f>Y7&amp;"-"&amp;AA7</f>
        <v>-</v>
      </c>
      <c r="Y8" s="2286"/>
      <c r="Z8" s="2127"/>
      <c r="AA8" s="2286"/>
      <c r="AB8" s="2127"/>
      <c r="AC8" s="332"/>
      <c r="AD8" s="332"/>
      <c r="AE8" s="335" t="str">
        <f>AF7&amp;"-"&amp;AH7</f>
        <v>-</v>
      </c>
      <c r="AF8" s="2286"/>
      <c r="AG8" s="2127"/>
      <c r="AH8" s="2308"/>
      <c r="AI8" s="2127"/>
      <c r="AJ8" s="1446"/>
      <c r="AK8" s="2369"/>
      <c r="AM8" s="507"/>
      <c r="AN8" s="507" t="str">
        <f>IF(T8="","",T8)</f>
        <v/>
      </c>
      <c r="AO8" s="507"/>
      <c r="AP8" s="507"/>
      <c r="AQ8" s="1162">
        <v>0</v>
      </c>
    </row>
    <row customHeight="1" ht="21" hidden="1">
      <c r="A9" s="1370"/>
      <c r="B9" s="1370"/>
      <c r="C9" s="1370"/>
      <c r="D9" s="1370"/>
      <c r="E9" s="2279"/>
      <c r="F9" s="2279"/>
      <c r="G9" s="2279"/>
      <c r="H9" s="2279"/>
      <c r="I9" s="2306"/>
      <c r="J9" s="2276"/>
      <c r="K9" s="1370"/>
      <c r="L9" s="1371"/>
      <c r="P9" s="2277"/>
      <c r="Q9" s="2277"/>
      <c r="R9" s="363"/>
      <c r="S9" s="1285"/>
      <c r="T9" s="294" t="s">
        <v>485</v>
      </c>
      <c r="U9" s="374"/>
      <c r="V9" s="374"/>
      <c r="W9" s="374"/>
      <c r="X9" s="374"/>
      <c r="Y9" s="374"/>
      <c r="Z9" s="374"/>
      <c r="AA9" s="374"/>
      <c r="AB9" s="374"/>
      <c r="AC9" s="374"/>
      <c r="AD9" s="374"/>
      <c r="AE9" s="374"/>
      <c r="AF9" s="374"/>
      <c r="AG9" s="374"/>
      <c r="AH9" s="374"/>
      <c r="AI9" s="374"/>
      <c r="AJ9" s="374"/>
      <c r="AK9" s="1265" t="s">
        <v>486</v>
      </c>
      <c r="AM9" s="507"/>
      <c r="AN9" s="507" t="str">
        <f>IF(T9="","",T9)</f>
        <v>Добавить значение признака дифференциации</v>
      </c>
      <c r="AO9" s="507"/>
      <c r="AP9" s="507"/>
      <c r="AQ9" s="1162">
        <v>0</v>
      </c>
    </row>
    <row customHeight="1" ht="21" hidden="1">
      <c r="A10" s="1370"/>
      <c r="B10" s="1370"/>
      <c r="C10" s="1370"/>
      <c r="D10" s="1370"/>
      <c r="E10" s="2279"/>
      <c r="F10" s="2279"/>
      <c r="G10" s="2279"/>
      <c r="H10" s="2279"/>
      <c r="I10" s="2276"/>
      <c r="J10" s="1370"/>
      <c r="K10" s="1370"/>
      <c r="L10" s="1371"/>
      <c r="P10" s="2277"/>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79"/>
      <c r="F11" s="2279"/>
      <c r="G11" s="2279"/>
      <c r="H11" s="2278"/>
      <c r="I11" s="1370"/>
      <c r="J11" s="1370"/>
      <c r="K11" s="1370"/>
      <c r="L11" s="1371"/>
      <c r="M11" s="1372"/>
      <c r="N11" s="1372"/>
      <c r="O11" s="544"/>
      <c r="P11" s="367"/>
      <c r="Q11" s="382"/>
      <c r="R11" s="362"/>
      <c r="S11" s="1285"/>
      <c r="T11" s="379" t="s">
        <v>487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79"/>
      <c r="F12" s="2278"/>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78"/>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87"/>
      <c r="AG15" s="2288" t="s">
        <v>61</v>
      </c>
      <c r="AH15" s="2287"/>
      <c r="AI15" s="2288" t="s">
        <v>61</v>
      </c>
      <c r="AQ15" s="1162">
        <v>0</v>
      </c>
    </row>
    <row customHeight="1" ht="14.25" hidden="1">
      <c r="AC16" s="1367"/>
      <c r="AD16" s="1367"/>
      <c r="AE16" s="335" t="str">
        <f>AF15&amp;"-"&amp;AH15</f>
        <v>-</v>
      </c>
      <c r="AF16" s="2288"/>
      <c r="AG16" s="2288"/>
      <c r="AH16" s="2288"/>
      <c r="AI16" s="2288"/>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50"/>
      <c r="AQ24" s="1162">
        <v>14</v>
      </c>
    </row>
    <row customHeight="1" ht="14.699999999999998">
      <c r="Q25" s="383"/>
      <c r="R25" s="383"/>
      <c r="S25" s="2269" t="str">
        <f>IF(org=0,"Не определено",org)</f>
        <v>ИМУП «ПОСЖИЛКОМСЕРВИС»</v>
      </c>
      <c r="T25" s="2269"/>
      <c r="U25" s="2269"/>
      <c r="V25" s="2269"/>
      <c r="W25" s="2269"/>
      <c r="X25" s="2269"/>
      <c r="Y25" s="2269"/>
      <c r="Z25" s="2269"/>
      <c r="AA25" s="2269"/>
      <c r="AB25" s="2269"/>
      <c r="AC25" s="2269"/>
      <c r="AD25" s="2269"/>
      <c r="AE25" s="2269"/>
      <c r="AF25" s="2269"/>
      <c r="AG25" s="2269"/>
      <c r="AH25" s="2269"/>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0" t="s">
        <v>41</v>
      </c>
      <c r="T27" s="2270"/>
      <c r="U27" s="1379"/>
      <c r="V27" s="2271" t="str">
        <f>IF(TITLE_NAME_OR_PR_CHANGE="",IF(TITLE_NAME_OR_PR="","",TITLE_NAME_OR_PR),TITLE_NAME_OR_PR_CHANGE)</f>
        <v/>
      </c>
      <c r="W27" s="2271"/>
      <c r="X27" s="2271"/>
      <c r="Y27" s="2271"/>
      <c r="Z27" s="2271"/>
      <c r="AA27" s="2271"/>
      <c r="AB27" s="333"/>
      <c r="AC27" s="2271" t="str">
        <f>IF(TITLE_NAME_OR_PR_CHANGE="",IF(TITLE_NAME_OR_PR="","",TITLE_NAME_OR_PR),TITLE_NAME_OR_PR_CHANGE)</f>
        <v/>
      </c>
      <c r="AD27" s="2271"/>
      <c r="AE27" s="2271"/>
      <c r="AF27" s="2271"/>
      <c r="AG27" s="2271"/>
      <c r="AH27" s="2271"/>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0" t="s">
        <v>422</v>
      </c>
      <c r="T28" s="2270"/>
      <c r="U28" s="1379"/>
      <c r="V28" s="2284" t="str">
        <f>IF(TITLE_DATE_PR_CHANGE="",IF(TITLE_DATE_PR="","",TITLE_DATE_PR),TITLE_DATE_PR_CHANGE)</f>
        <v/>
      </c>
      <c r="W28" s="2284"/>
      <c r="X28" s="2284"/>
      <c r="Y28" s="2284"/>
      <c r="Z28" s="2284"/>
      <c r="AA28" s="2284"/>
      <c r="AB28" s="333"/>
      <c r="AC28" s="2284" t="str">
        <f>IF(TITLE_DATE_PR_CHANGE="",IF(TITLE_DATE_PR="","",TITLE_DATE_PR),TITLE_DATE_PR_CHANGE)</f>
        <v/>
      </c>
      <c r="AD28" s="2284"/>
      <c r="AE28" s="2284"/>
      <c r="AF28" s="2284"/>
      <c r="AG28" s="2284"/>
      <c r="AH28" s="2284"/>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0" t="s">
        <v>423</v>
      </c>
      <c r="T29" s="2270"/>
      <c r="U29" s="1379"/>
      <c r="V29" s="2271" t="str">
        <f>IF(TITLE_NUMBER_PR_CHANGE="",IF(TITLE_NUMBER_PR="","",TITLE_NUMBER_PR),TITLE_NUMBER_PR_CHANGE)</f>
        <v/>
      </c>
      <c r="W29" s="2271"/>
      <c r="X29" s="2271"/>
      <c r="Y29" s="2271"/>
      <c r="Z29" s="2271"/>
      <c r="AA29" s="2271"/>
      <c r="AB29" s="333"/>
      <c r="AC29" s="2271" t="str">
        <f>IF(TITLE_NUMBER_PR_CHANGE="",IF(TITLE_NUMBER_PR="","",TITLE_NUMBER_PR),TITLE_NUMBER_PR_CHANGE)</f>
        <v/>
      </c>
      <c r="AD29" s="2271"/>
      <c r="AE29" s="2271"/>
      <c r="AF29" s="2271"/>
      <c r="AG29" s="2271"/>
      <c r="AH29" s="2271"/>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v>
      </c>
      <c r="T30" s="2270"/>
      <c r="U30" s="1379"/>
      <c r="V30" s="2271" t="str">
        <f>IF(TITLE_IST_PUB_CHANGE="",IF(TITLE_IST_PUB="","",TITLE_IST_PUB),TITLE_IST_PUB_CHANGE)</f>
        <v/>
      </c>
      <c r="W30" s="2271"/>
      <c r="X30" s="2271"/>
      <c r="Y30" s="2271"/>
      <c r="Z30" s="2271"/>
      <c r="AA30" s="2271"/>
      <c r="AB30" s="333"/>
      <c r="AC30" s="2271" t="str">
        <f>IF(TITLE_IST_PUB_CHANGE="",IF(TITLE_IST_PUB="","",TITLE_IST_PUB),TITLE_IST_PUB_CHANGE)</f>
        <v/>
      </c>
      <c r="AD30" s="2271"/>
      <c r="AE30" s="2271"/>
      <c r="AF30" s="2271"/>
      <c r="AG30" s="2271"/>
      <c r="AH30" s="2271"/>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0" t="s">
        <v>424</v>
      </c>
      <c r="T32" s="2270"/>
      <c r="U32" s="1379"/>
      <c r="V32" s="2284" t="str">
        <f>IF(TITLE_DATE_PR_CHANGE="",IF(TITLE_DATE_PR="","",TITLE_DATE_PR),TITLE_DATE_PR_CHANGE)</f>
        <v/>
      </c>
      <c r="W32" s="2284"/>
      <c r="X32" s="2284"/>
      <c r="Y32" s="2284"/>
      <c r="Z32" s="2284"/>
      <c r="AA32" s="2284"/>
      <c r="AB32" s="333"/>
      <c r="AC32" s="2284" t="str">
        <f>IF(TITLE_DATE_PR_CHANGE="",IF(TITLE_DATE_PR="","",TITLE_DATE_PR),TITLE_DATE_PR_CHANGE)</f>
        <v/>
      </c>
      <c r="AD32" s="2284"/>
      <c r="AE32" s="2284"/>
      <c r="AF32" s="2284"/>
      <c r="AG32" s="2284"/>
      <c r="AH32" s="2284"/>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0" t="s">
        <v>425</v>
      </c>
      <c r="T33" s="2270"/>
      <c r="U33" s="1379"/>
      <c r="V33" s="2271" t="str">
        <f>IF(TITLE_NUMBER_PR_CHANGE="",IF(TITLE_NUMBER_PR="","",TITLE_NUMBER_PR),TITLE_NUMBER_PR_CHANGE)</f>
        <v/>
      </c>
      <c r="W33" s="2271"/>
      <c r="X33" s="2271"/>
      <c r="Y33" s="2271"/>
      <c r="Z33" s="2271"/>
      <c r="AA33" s="2271"/>
      <c r="AB33" s="333"/>
      <c r="AC33" s="2271" t="str">
        <f>IF(TITLE_NUMBER_PR_CHANGE="",IF(TITLE_NUMBER_PR="","",TITLE_NUMBER_PR),TITLE_NUMBER_PR_CHANGE)</f>
        <v/>
      </c>
      <c r="AD33" s="2271"/>
      <c r="AE33" s="2271"/>
      <c r="AF33" s="2271"/>
      <c r="AG33" s="2271"/>
      <c r="AH33" s="2271"/>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426</v>
      </c>
      <c r="AC34" s="333"/>
      <c r="AD34" s="333"/>
      <c r="AE34" s="333"/>
      <c r="AF34" s="333"/>
      <c r="AG34" s="333"/>
      <c r="AH34" s="333"/>
      <c r="AI34" s="285" t="s">
        <v>426</v>
      </c>
      <c r="AL34" s="375"/>
      <c r="AM34" s="375"/>
      <c r="AN34" s="375"/>
      <c r="AO34" s="375"/>
      <c r="AP34" s="375"/>
      <c r="AQ34" s="425">
        <v>1</v>
      </c>
    </row>
    <row customHeight="1" ht="14.699999999999998">
      <c r="Q35" s="383"/>
      <c r="R35" s="383"/>
      <c r="S35" s="1282"/>
      <c r="T35" s="370"/>
      <c r="U35" s="1251"/>
      <c r="V35" s="2272"/>
      <c r="W35" s="2272"/>
      <c r="X35" s="2272"/>
      <c r="Y35" s="2272"/>
      <c r="Z35" s="2272"/>
      <c r="AA35" s="2272"/>
      <c r="AB35" s="2272"/>
      <c r="AC35" s="2272"/>
      <c r="AD35" s="2272"/>
      <c r="AE35" s="2272"/>
      <c r="AF35" s="2272"/>
      <c r="AG35" s="2272"/>
      <c r="AH35" s="2272"/>
      <c r="AI35" s="2272"/>
      <c r="AQ35" s="1162">
        <v>14</v>
      </c>
    </row>
    <row customHeight="1" ht="14.699999999999998">
      <c r="Q36" s="383"/>
      <c r="R36" s="383"/>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62">
        <v>14</v>
      </c>
    </row>
    <row customHeight="1" ht="14.699999999999998">
      <c r="Q37" s="383"/>
      <c r="R37" s="383"/>
      <c r="S37" s="2293" t="s">
        <v>87</v>
      </c>
      <c r="T37" s="2229" t="s">
        <v>427</v>
      </c>
      <c r="U37" s="308"/>
      <c r="V37" s="2294" t="s">
        <v>428</v>
      </c>
      <c r="W37" s="2295"/>
      <c r="X37" s="2295"/>
      <c r="Y37" s="2295"/>
      <c r="Z37" s="2295"/>
      <c r="AA37" s="2296"/>
      <c r="AB37" s="2297" t="s">
        <v>429</v>
      </c>
      <c r="AC37" s="2294" t="s">
        <v>428</v>
      </c>
      <c r="AD37" s="2295"/>
      <c r="AE37" s="2295"/>
      <c r="AF37" s="2295"/>
      <c r="AG37" s="2295"/>
      <c r="AH37" s="2296"/>
      <c r="AI37" s="2297" t="s">
        <v>430</v>
      </c>
      <c r="AJ37" s="2300" t="s">
        <v>431</v>
      </c>
      <c r="AK37" s="2147"/>
      <c r="AQ37" s="1162">
        <v>14</v>
      </c>
    </row>
    <row customHeight="1" ht="35.699999999999996">
      <c r="Q38" s="383"/>
      <c r="R38" s="383"/>
      <c r="S38" s="2293"/>
      <c r="T38" s="2229"/>
      <c r="U38" s="1038"/>
      <c r="V38" s="1459" t="s">
        <v>488</v>
      </c>
      <c r="W38" s="2282" t="s">
        <v>434</v>
      </c>
      <c r="X38" s="2283"/>
      <c r="Y38" s="2282" t="s">
        <v>435</v>
      </c>
      <c r="Z38" s="2289"/>
      <c r="AA38" s="2283"/>
      <c r="AB38" s="2298"/>
      <c r="AC38" s="1459" t="s">
        <v>488</v>
      </c>
      <c r="AD38" s="2282" t="s">
        <v>434</v>
      </c>
      <c r="AE38" s="2283"/>
      <c r="AF38" s="2282" t="s">
        <v>435</v>
      </c>
      <c r="AG38" s="2289"/>
      <c r="AH38" s="2283"/>
      <c r="AI38" s="2298"/>
      <c r="AJ38" s="2301"/>
      <c r="AK38" s="2147"/>
      <c r="AQ38" s="1162">
        <v>34</v>
      </c>
    </row>
    <row customHeight="1" ht="35.699999999999996">
      <c r="A39" s="1377"/>
      <c r="B39" s="1377" t="s">
        <v>136</v>
      </c>
      <c r="C39" s="1377" t="s">
        <v>137</v>
      </c>
      <c r="D39" s="1377" t="s">
        <v>138</v>
      </c>
      <c r="E39" s="1371" t="s">
        <v>436</v>
      </c>
      <c r="F39" s="1371" t="s">
        <v>437</v>
      </c>
      <c r="G39" s="1371" t="s">
        <v>438</v>
      </c>
      <c r="H39" s="1371"/>
      <c r="I39" s="1371" t="s">
        <v>489</v>
      </c>
      <c r="J39" s="1371" t="s">
        <v>441</v>
      </c>
      <c r="K39" s="1371" t="s">
        <v>490</v>
      </c>
      <c r="L39" s="1371" t="s">
        <v>417</v>
      </c>
      <c r="Q39" s="383"/>
      <c r="R39" s="383"/>
      <c r="S39" s="2293"/>
      <c r="T39" s="2229"/>
      <c r="U39" s="309"/>
      <c r="V39" s="1459" t="s">
        <v>491</v>
      </c>
      <c r="W39" s="1229" t="s">
        <v>492</v>
      </c>
      <c r="X39" s="1229" t="s">
        <v>493</v>
      </c>
      <c r="Y39" s="1462" t="s">
        <v>445</v>
      </c>
      <c r="Z39" s="2290" t="s">
        <v>446</v>
      </c>
      <c r="AA39" s="2291"/>
      <c r="AB39" s="2299"/>
      <c r="AC39" s="1459" t="s">
        <v>491</v>
      </c>
      <c r="AD39" s="1229" t="s">
        <v>492</v>
      </c>
      <c r="AE39" s="1229" t="s">
        <v>493</v>
      </c>
      <c r="AF39" s="1462" t="s">
        <v>445</v>
      </c>
      <c r="AG39" s="2290" t="s">
        <v>446</v>
      </c>
      <c r="AH39" s="2291"/>
      <c r="AI39" s="2299"/>
      <c r="AJ39" s="2302"/>
      <c r="AK39" s="2147"/>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92">
        <f>OFFSET(Z40,0,-1)+1</f>
        <v>7</v>
      </c>
      <c r="AA40" s="2292"/>
      <c r="AB40" s="1458">
        <f>OFFSET(AB40,0,-2)+1</f>
        <v>8</v>
      </c>
      <c r="AC40" s="1458">
        <f>OFFSET(AC40,0,-1)+1</f>
        <v>9</v>
      </c>
      <c r="AD40" s="1458">
        <f>OFFSET(AD40,0,-1)+1</f>
        <v>10</v>
      </c>
      <c r="AE40" s="1458">
        <f>OFFSET(AE40,0,-1)+1</f>
        <v>11</v>
      </c>
      <c r="AF40" s="1458">
        <f>OFFSET(AF40,0,-1)+1</f>
        <v>12</v>
      </c>
      <c r="AG40" s="2292">
        <f>OFFSET(AG40,0,-1)+1</f>
        <v>13</v>
      </c>
      <c r="AH40" s="2292"/>
      <c r="AI40" s="1458">
        <f>OFFSET(AI40,0,-2)+1</f>
        <v>14</v>
      </c>
      <c r="AJ40" s="1252">
        <f>OFFSET(AJ40,0,-1)</f>
        <v>14</v>
      </c>
      <c r="AK40" s="1458">
        <f>OFFSET(AK40,0,-1)+1</f>
        <v>15</v>
      </c>
      <c r="AL40" s="518"/>
      <c r="AM40" s="518"/>
      <c r="AN40" s="518"/>
      <c r="AO40" s="518"/>
      <c r="AP40" s="518"/>
      <c r="AQ40" s="503">
        <v>0</v>
      </c>
    </row>
    <row customHeight="1" ht="24">
      <c r="A41" s="1370" t="s">
        <v>240</v>
      </c>
      <c r="B41" s="1370"/>
      <c r="C41" s="1370"/>
      <c r="D41" s="1370"/>
      <c r="E41" s="2278">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240</v>
      </c>
      <c r="B42" s="1370" t="s">
        <v>241</v>
      </c>
      <c r="C42" s="1370"/>
      <c r="D42" s="1370"/>
      <c r="E42" s="2279"/>
      <c r="F42" s="2278">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65" t="s">
        <v>397</v>
      </c>
      <c r="AM42" s="507"/>
      <c r="AN42" s="507" t="str">
        <f>IF(T42="","",T42)</f>
        <v>Территория действия тарифа</v>
      </c>
      <c r="AO42" s="507"/>
      <c r="AP42" s="507"/>
      <c r="AQ42" s="1162">
        <v>23</v>
      </c>
    </row>
    <row customHeight="1" ht="24">
      <c r="A43" s="1370" t="s">
        <v>240</v>
      </c>
      <c r="B43" s="1370" t="s">
        <v>241</v>
      </c>
      <c r="C43" s="1370" t="s">
        <v>242</v>
      </c>
      <c r="D43" s="1370"/>
      <c r="E43" s="2279"/>
      <c r="F43" s="2279"/>
      <c r="G43" s="2278">
        <v>1</v>
      </c>
      <c r="H43" s="1370"/>
      <c r="I43" s="1370"/>
      <c r="J43" s="1370"/>
      <c r="K43" s="1370"/>
      <c r="L43" s="1371"/>
      <c r="M43" s="1372"/>
      <c r="N43" s="1372"/>
      <c r="O43" s="1372"/>
      <c r="P43" s="361"/>
      <c r="Q43" s="359"/>
      <c r="R43" s="360"/>
      <c r="S43" s="1464" t="str">
        <f>INDEX(PT_DIFFERENTIATION_NUM_CS,MATCH(C43,PT_DIFFERENTIATION_CS_ID,0))</f>
        <v>..</v>
      </c>
      <c r="T43" s="316" t="s">
        <v>480</v>
      </c>
      <c r="U43" s="307"/>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65" t="s">
        <v>481</v>
      </c>
      <c r="AM43" s="507"/>
      <c r="AN43" s="507" t="str">
        <f>IF(T43="","",T43)</f>
        <v>Наименование централизованной системы холодного водоснабжения</v>
      </c>
      <c r="AO43" s="507"/>
      <c r="AP43" s="507"/>
      <c r="AQ43" s="1162">
        <v>23</v>
      </c>
    </row>
    <row customHeight="1" ht="24">
      <c r="A44" s="1370" t="s">
        <v>240</v>
      </c>
      <c r="B44" s="1370" t="s">
        <v>241</v>
      </c>
      <c r="C44" s="1370" t="s">
        <v>242</v>
      </c>
      <c r="D44" s="1370" t="s">
        <v>497</v>
      </c>
      <c r="E44" s="2279"/>
      <c r="F44" s="2279"/>
      <c r="G44" s="2279"/>
      <c r="H44" s="2279"/>
      <c r="I44" s="2276" t="str">
        <f>S43&amp;".1"</f>
        <v>...1</v>
      </c>
      <c r="J44" s="1370"/>
      <c r="K44" s="1370"/>
      <c r="L44" s="1371"/>
      <c r="P44" s="2277">
        <v>1</v>
      </c>
      <c r="Q44" s="1457"/>
      <c r="R44" s="363"/>
      <c r="S44" s="1464" t="str">
        <f>$I44</f>
        <v>...1</v>
      </c>
      <c r="T44" s="292" t="s">
        <v>482</v>
      </c>
      <c r="U44" s="307"/>
      <c r="V44" s="2370"/>
      <c r="W44" s="2371"/>
      <c r="X44" s="2371"/>
      <c r="Y44" s="2371"/>
      <c r="Z44" s="2371"/>
      <c r="AA44" s="2371"/>
      <c r="AB44" s="2372"/>
      <c r="AC44" s="2373"/>
      <c r="AD44" s="2374"/>
      <c r="AE44" s="2374"/>
      <c r="AF44" s="2374"/>
      <c r="AG44" s="2374"/>
      <c r="AH44" s="2374"/>
      <c r="AI44" s="2374"/>
      <c r="AJ44" s="2375"/>
      <c r="AK44" s="1265" t="s">
        <v>483</v>
      </c>
      <c r="AM44" s="507"/>
      <c r="AN44" s="507" t="str">
        <f>IF(T44="","",T44)</f>
        <v>Наименование признака дифференциации</v>
      </c>
      <c r="AO44" s="507"/>
      <c r="AP44" s="507"/>
      <c r="AQ44" s="1162">
        <v>23</v>
      </c>
    </row>
    <row customHeight="1" ht="24">
      <c r="A45" s="1370" t="s">
        <v>240</v>
      </c>
      <c r="B45" s="1370" t="s">
        <v>241</v>
      </c>
      <c r="C45" s="1370" t="s">
        <v>242</v>
      </c>
      <c r="D45" s="1370" t="s">
        <v>497</v>
      </c>
      <c r="E45" s="2279"/>
      <c r="F45" s="2279"/>
      <c r="G45" s="2279"/>
      <c r="H45" s="2279"/>
      <c r="I45" s="2306"/>
      <c r="J45" s="2276" t="str">
        <f>I44&amp;".1"</f>
        <v>...1.1</v>
      </c>
      <c r="K45" s="1370"/>
      <c r="L45" s="1371" t="s">
        <v>405</v>
      </c>
      <c r="P45" s="2277"/>
      <c r="Q45" s="2277">
        <v>1</v>
      </c>
      <c r="R45" s="364"/>
      <c r="S45" s="1464" t="str">
        <f>$J45</f>
        <v>...1.1</v>
      </c>
      <c r="T45" s="293" t="s">
        <v>406</v>
      </c>
      <c r="U45" s="307"/>
      <c r="V45" s="2265"/>
      <c r="W45" s="2266"/>
      <c r="X45" s="2266"/>
      <c r="Y45" s="2266"/>
      <c r="Z45" s="2266"/>
      <c r="AA45" s="2266"/>
      <c r="AB45" s="2267"/>
      <c r="AC45" s="2265"/>
      <c r="AD45" s="2266"/>
      <c r="AE45" s="2266"/>
      <c r="AF45" s="2266"/>
      <c r="AG45" s="2266"/>
      <c r="AH45" s="2266"/>
      <c r="AI45" s="2266"/>
      <c r="AJ45" s="2267"/>
      <c r="AK45" s="1314" t="s">
        <v>484</v>
      </c>
      <c r="AM45" s="507"/>
      <c r="AN45" s="507" t="str">
        <f>IF(T45="","",T45)</f>
        <v>Группа потребителей</v>
      </c>
      <c r="AO45" s="507"/>
      <c r="AP45" s="507"/>
      <c r="AQ45" s="1162">
        <v>23</v>
      </c>
    </row>
    <row customHeight="1" ht="24">
      <c r="A46" s="1370" t="s">
        <v>240</v>
      </c>
      <c r="B46" s="1370" t="s">
        <v>241</v>
      </c>
      <c r="C46" s="1370" t="s">
        <v>242</v>
      </c>
      <c r="D46" s="1370" t="s">
        <v>497</v>
      </c>
      <c r="E46" s="2279"/>
      <c r="F46" s="2279"/>
      <c r="G46" s="2279"/>
      <c r="H46" s="2279"/>
      <c r="I46" s="2306"/>
      <c r="J46" s="2306"/>
      <c r="K46" s="2276" t="str">
        <f>J45&amp;".1"</f>
        <v>...1.1.1</v>
      </c>
      <c r="L46" s="1371"/>
      <c r="P46" s="2277"/>
      <c r="Q46" s="2277"/>
      <c r="R46" s="364">
        <v>1</v>
      </c>
      <c r="S46" s="1464" t="str">
        <f>$K46</f>
        <v>...1.1.1</v>
      </c>
      <c r="T46" s="1444"/>
      <c r="U46" s="307"/>
      <c r="V46" s="758"/>
      <c r="W46" s="758"/>
      <c r="X46" s="1264"/>
      <c r="Y46" s="2285"/>
      <c r="Z46" s="2127" t="s">
        <v>61</v>
      </c>
      <c r="AA46" s="2285"/>
      <c r="AB46" s="2127" t="s">
        <v>61</v>
      </c>
      <c r="AC46" s="758"/>
      <c r="AD46" s="758"/>
      <c r="AE46" s="1264"/>
      <c r="AF46" s="2285"/>
      <c r="AG46" s="2127" t="s">
        <v>61</v>
      </c>
      <c r="AH46" s="2307"/>
      <c r="AI46" s="2127" t="s">
        <v>61</v>
      </c>
      <c r="AJ46" s="1445"/>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240</v>
      </c>
      <c r="B47" s="1370" t="s">
        <v>241</v>
      </c>
      <c r="C47" s="1370" t="s">
        <v>242</v>
      </c>
      <c r="D47" s="1370" t="s">
        <v>497</v>
      </c>
      <c r="E47" s="2279"/>
      <c r="F47" s="2279"/>
      <c r="G47" s="2279"/>
      <c r="H47" s="2279"/>
      <c r="I47" s="2306"/>
      <c r="J47" s="2306"/>
      <c r="K47" s="2276"/>
      <c r="L47" s="1371"/>
      <c r="P47" s="2277"/>
      <c r="Q47" s="2277"/>
      <c r="R47" s="364"/>
      <c r="S47" s="1463"/>
      <c r="T47" s="307"/>
      <c r="U47" s="307"/>
      <c r="V47" s="332"/>
      <c r="W47" s="332"/>
      <c r="X47" s="335" t="str">
        <f>Y46&amp;"-"&amp;AA46</f>
        <v>-</v>
      </c>
      <c r="Y47" s="2286"/>
      <c r="Z47" s="2127"/>
      <c r="AA47" s="2286"/>
      <c r="AB47" s="2127"/>
      <c r="AC47" s="332"/>
      <c r="AD47" s="332"/>
      <c r="AE47" s="335" t="str">
        <f>AF46&amp;"-"&amp;AH46</f>
        <v>-</v>
      </c>
      <c r="AF47" s="2286"/>
      <c r="AG47" s="2127"/>
      <c r="AH47" s="2308"/>
      <c r="AI47" s="2127"/>
      <c r="AJ47" s="1446"/>
      <c r="AK47" s="2369"/>
      <c r="AM47" s="507"/>
      <c r="AN47" s="507" t="str">
        <f>IF(T47="","",T47)</f>
        <v/>
      </c>
      <c r="AO47" s="507"/>
      <c r="AP47" s="507"/>
      <c r="AQ47" s="1162">
        <v>0</v>
      </c>
    </row>
    <row customHeight="1" ht="21">
      <c r="A48" s="1370" t="s">
        <v>240</v>
      </c>
      <c r="B48" s="1370" t="s">
        <v>241</v>
      </c>
      <c r="C48" s="1370" t="s">
        <v>242</v>
      </c>
      <c r="D48" s="1370" t="s">
        <v>497</v>
      </c>
      <c r="E48" s="2279"/>
      <c r="F48" s="2279"/>
      <c r="G48" s="2279"/>
      <c r="H48" s="2279"/>
      <c r="I48" s="2306"/>
      <c r="J48" s="2276"/>
      <c r="K48" s="1370"/>
      <c r="L48" s="1371"/>
      <c r="P48" s="2277"/>
      <c r="Q48" s="2277"/>
      <c r="R48" s="363"/>
      <c r="S48" s="1285"/>
      <c r="T48" s="294" t="s">
        <v>485</v>
      </c>
      <c r="U48" s="374"/>
      <c r="V48" s="374"/>
      <c r="W48" s="374"/>
      <c r="X48" s="374"/>
      <c r="Y48" s="374"/>
      <c r="Z48" s="374"/>
      <c r="AA48" s="374"/>
      <c r="AB48" s="374"/>
      <c r="AC48" s="374"/>
      <c r="AD48" s="374"/>
      <c r="AE48" s="374"/>
      <c r="AF48" s="374"/>
      <c r="AG48" s="374"/>
      <c r="AH48" s="374"/>
      <c r="AI48" s="374"/>
      <c r="AJ48" s="374"/>
      <c r="AK48" s="1265" t="s">
        <v>486</v>
      </c>
      <c r="AM48" s="507"/>
      <c r="AN48" s="507" t="str">
        <f>IF(T48="","",T48)</f>
        <v>Добавить значение признака дифференциации</v>
      </c>
      <c r="AO48" s="507"/>
      <c r="AP48" s="507"/>
      <c r="AQ48" s="1162">
        <v>20</v>
      </c>
    </row>
    <row customHeight="1" ht="22.049999999999997">
      <c r="A49" s="1370" t="s">
        <v>240</v>
      </c>
      <c r="B49" s="1370" t="s">
        <v>241</v>
      </c>
      <c r="C49" s="1370" t="s">
        <v>242</v>
      </c>
      <c r="D49" s="1370" t="s">
        <v>497</v>
      </c>
      <c r="E49" s="2279"/>
      <c r="F49" s="2279"/>
      <c r="G49" s="2279"/>
      <c r="H49" s="2279"/>
      <c r="I49" s="2276"/>
      <c r="J49" s="1370"/>
      <c r="K49" s="1370"/>
      <c r="L49" s="1371"/>
      <c r="P49" s="2277"/>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240</v>
      </c>
      <c r="B50" s="1370" t="s">
        <v>241</v>
      </c>
      <c r="C50" s="1370" t="s">
        <v>242</v>
      </c>
      <c r="D50" s="1370" t="s">
        <v>497</v>
      </c>
      <c r="E50" s="2279"/>
      <c r="F50" s="2279"/>
      <c r="G50" s="2279"/>
      <c r="H50" s="2278"/>
      <c r="I50" s="1370"/>
      <c r="J50" s="1370"/>
      <c r="K50" s="1370"/>
      <c r="L50" s="1371"/>
      <c r="M50" s="1372"/>
      <c r="N50" s="1372"/>
      <c r="O50" s="544"/>
      <c r="P50" s="367"/>
      <c r="Q50" s="382"/>
      <c r="R50" s="362"/>
      <c r="S50" s="1285"/>
      <c r="T50" s="379" t="s">
        <v>487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240</v>
      </c>
      <c r="B51" s="1350" t="s">
        <v>241</v>
      </c>
      <c r="C51" s="1321"/>
      <c r="D51" s="1321"/>
      <c r="E51" s="2279"/>
      <c r="F51" s="2278"/>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240</v>
      </c>
      <c r="B52" s="1350"/>
      <c r="C52" s="1350"/>
      <c r="D52" s="1350"/>
      <c r="E52" s="2278"/>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05"/>
      <c r="U55" s="2305"/>
      <c r="V55" s="2305"/>
      <c r="W55" s="2305"/>
      <c r="X55" s="2305"/>
      <c r="Y55" s="2305"/>
      <c r="Z55" s="2305"/>
      <c r="AA55" s="2305"/>
      <c r="AB55" s="2305"/>
      <c r="AC55" s="2305"/>
      <c r="AD55" s="2305"/>
      <c r="AE55" s="2305"/>
      <c r="AF55" s="2305"/>
      <c r="AG55" s="2305"/>
      <c r="AH55" s="2305"/>
      <c r="AI55" s="2305"/>
      <c r="AJ55" s="2305"/>
      <c r="AK55" s="2305"/>
      <c r="AQ55" s="1162">
        <v>14</v>
      </c>
    </row>
    <row customHeight="1" ht="14.699999999999998">
      <c r="O56" s="544"/>
      <c r="AQ56" s="1162">
        <v>14</v>
      </c>
    </row>
    <row customHeight="1" ht="14.699999999999998">
      <c r="O57" s="544"/>
      <c r="S57" s="1260"/>
      <c r="T57" s="2305"/>
      <c r="U57" s="2305"/>
      <c r="V57" s="2305"/>
      <c r="W57" s="2305"/>
      <c r="X57" s="2305"/>
      <c r="Y57" s="2305"/>
      <c r="Z57" s="2305"/>
      <c r="AA57" s="2305"/>
      <c r="AB57" s="2305"/>
      <c r="AC57" s="2305"/>
      <c r="AD57" s="2305"/>
      <c r="AE57" s="2305"/>
      <c r="AF57" s="2305"/>
      <c r="AG57" s="2305"/>
      <c r="AH57" s="2305"/>
      <c r="AI57" s="2305"/>
      <c r="AJ57" s="2305"/>
      <c r="AK57" s="2305"/>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295DA-0AF9-E652-E1B9-0.FB469B7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45" width="10.140625" hidden="1" customWidth="1"/>
    <col min="13" max="15" style="2417" width="10.140625" hidden="1" customWidth="1"/>
    <col min="16" max="16" style="1782" width="3.00390625" customWidth="1"/>
    <col min="17" max="17" style="1378" width="3.00390625" customWidth="1"/>
    <col min="18" max="18" style="351" width="3.00390625" customWidth="1"/>
    <col min="19" max="19" style="2427"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309">
        <v>1</v>
      </c>
      <c r="F2" s="1274"/>
      <c r="G2" s="1274"/>
      <c r="H2" s="1274"/>
      <c r="I2" s="1274"/>
      <c r="J2" s="1274"/>
      <c r="K2" s="1274"/>
      <c r="L2" s="1317"/>
      <c r="M2" s="1617"/>
      <c r="N2" s="1617"/>
      <c r="O2" s="1617"/>
      <c r="P2" s="1416"/>
      <c r="Q2" s="880"/>
      <c r="R2" s="362"/>
      <c r="S2" s="1962">
        <f>INDEX(PT_DIFFERENTIATION_NUM_NTAR,MATCH(A2,PT_DIFFERENTIATION_NTAR_ID,0))</f>
      </c>
      <c r="T2" s="1532" t="s">
        <v>124</v>
      </c>
      <c r="U2" s="307"/>
      <c r="V2" s="2263"/>
      <c r="W2" s="2263"/>
      <c r="X2" s="2263"/>
      <c r="Y2" s="2263"/>
      <c r="Z2" s="2263"/>
      <c r="AA2" s="2264"/>
      <c r="AB2" s="1956"/>
      <c r="AC2" s="2263">
        <f>INDEX(PT_DIFFERENTIATION_NTAR,MATCH(A2,PT_DIFFERENTIATION_NTAR_ID,0))</f>
      </c>
      <c r="AD2" s="2263"/>
      <c r="AE2" s="2263"/>
      <c r="AF2" s="2263"/>
      <c r="AG2" s="2263"/>
      <c r="AH2" s="2263"/>
      <c r="AI2" s="2263"/>
      <c r="AJ2" s="2264"/>
      <c r="AK2" s="1265" t="s">
        <v>395</v>
      </c>
      <c r="AM2" s="1631"/>
      <c r="AN2" s="1631" t="str">
        <f>IF(T2="","",T2)</f>
        <v>Наименование тарифа</v>
      </c>
      <c r="AO2" s="1631"/>
      <c r="AP2" s="1631"/>
      <c r="AQ2" s="1638">
        <v>0</v>
      </c>
    </row>
    <row customHeight="1" ht="21" hidden="1">
      <c r="A3" s="1274"/>
      <c r="B3" s="1274"/>
      <c r="C3" s="1274"/>
      <c r="D3" s="1274"/>
      <c r="E3" s="2310"/>
      <c r="F3" s="2309">
        <v>1</v>
      </c>
      <c r="G3" s="1274"/>
      <c r="H3" s="1274"/>
      <c r="I3" s="1274"/>
      <c r="J3" s="1274"/>
      <c r="K3" s="1274"/>
      <c r="L3" s="1317"/>
      <c r="M3" s="1617"/>
      <c r="N3" s="1617"/>
      <c r="O3" s="1617"/>
      <c r="P3" s="1973"/>
      <c r="Q3" s="1418"/>
      <c r="R3" s="360"/>
      <c r="S3" s="1962">
        <f>INDEX(PT_DIFFERENTIATION_NUM_TER,MATCH(B3,PT_DIFFERENTIATION_TER_ID,0))</f>
      </c>
      <c r="T3" s="1529" t="s">
        <v>396</v>
      </c>
      <c r="U3" s="307"/>
      <c r="V3" s="2263"/>
      <c r="W3" s="2263"/>
      <c r="X3" s="2263"/>
      <c r="Y3" s="2263"/>
      <c r="Z3" s="2263"/>
      <c r="AA3" s="2264"/>
      <c r="AB3" s="1956"/>
      <c r="AC3" s="2263">
        <f>INDEX(PT_DIFFERENTIATION_TER,MATCH(B3,PT_DIFFERENTIATION_TER_ID,0))</f>
      </c>
      <c r="AD3" s="2263"/>
      <c r="AE3" s="2263"/>
      <c r="AF3" s="2263"/>
      <c r="AG3" s="2263"/>
      <c r="AH3" s="2263"/>
      <c r="AI3" s="2263"/>
      <c r="AJ3" s="2264"/>
      <c r="AK3" s="1265" t="s">
        <v>397</v>
      </c>
      <c r="AM3" s="1631"/>
      <c r="AN3" s="1631" t="str">
        <f>IF(T3="","",T3)</f>
        <v>Территория действия тарифа</v>
      </c>
      <c r="AO3" s="1631"/>
      <c r="AP3" s="1631"/>
      <c r="AQ3" s="1638">
        <v>0</v>
      </c>
    </row>
    <row customHeight="1" ht="22.5" hidden="1">
      <c r="A4" s="1274"/>
      <c r="B4" s="1274"/>
      <c r="C4" s="1274"/>
      <c r="D4" s="1274"/>
      <c r="E4" s="2310"/>
      <c r="F4" s="2310"/>
      <c r="G4" s="2309">
        <v>1</v>
      </c>
      <c r="H4" s="1274"/>
      <c r="I4" s="1274"/>
      <c r="J4" s="1274"/>
      <c r="K4" s="1274"/>
      <c r="L4" s="1317"/>
      <c r="M4" s="1617"/>
      <c r="N4" s="1617"/>
      <c r="O4" s="1617"/>
      <c r="P4" s="1419"/>
      <c r="Q4" s="1418"/>
      <c r="R4" s="360"/>
      <c r="S4" s="1962">
        <f>INDEX(PT_DIFFERENTIATION_NUM_CS,MATCH(C4,PT_DIFFERENTIATION_CS_ID,0))</f>
      </c>
      <c r="T4" s="316" t="s">
        <v>398</v>
      </c>
      <c r="U4" s="307"/>
      <c r="V4" s="2263"/>
      <c r="W4" s="2263"/>
      <c r="X4" s="2263"/>
      <c r="Y4" s="2263"/>
      <c r="Z4" s="2263"/>
      <c r="AA4" s="2264"/>
      <c r="AB4" s="1956"/>
      <c r="AC4" s="2263">
        <f>INDEX(PT_DIFFERENTIATION_CS,MATCH(C4,PT_DIFFERENTIATION_CS_ID,0))</f>
      </c>
      <c r="AD4" s="2263"/>
      <c r="AE4" s="2263"/>
      <c r="AF4" s="2263"/>
      <c r="AG4" s="2263"/>
      <c r="AH4" s="2263"/>
      <c r="AI4" s="2263"/>
      <c r="AJ4" s="2264"/>
      <c r="AK4" s="1265" t="s">
        <v>399</v>
      </c>
      <c r="AM4" s="1631"/>
      <c r="AN4" s="1631" t="str">
        <f>IF(T4="","",T4)</f>
        <v>Наименование системы теплоснабжения </v>
      </c>
      <c r="AO4" s="1631"/>
      <c r="AP4" s="1631"/>
      <c r="AQ4" s="1638">
        <v>0</v>
      </c>
    </row>
    <row customHeight="1" ht="21" hidden="1">
      <c r="A5" s="1274"/>
      <c r="B5" s="1274"/>
      <c r="C5" s="1274"/>
      <c r="D5" s="1274"/>
      <c r="E5" s="2310"/>
      <c r="F5" s="2310"/>
      <c r="G5" s="2310"/>
      <c r="H5" s="2309">
        <v>1</v>
      </c>
      <c r="I5" s="1274"/>
      <c r="J5" s="1274"/>
      <c r="K5" s="1274"/>
      <c r="L5" s="1317"/>
      <c r="M5" s="1617"/>
      <c r="N5" s="1617"/>
      <c r="O5" s="1617"/>
      <c r="P5" s="1419"/>
      <c r="Q5" s="1418"/>
      <c r="R5" s="360"/>
      <c r="S5" s="1962">
        <f>INDEX(PT_DIFFERENTIATION_NUM_IST_TE,MATCH(D5,PT_DIFFERENTIATION_IST_TE_ID,0))</f>
      </c>
      <c r="T5" s="317" t="s">
        <v>400</v>
      </c>
      <c r="U5" s="307"/>
      <c r="V5" s="2263"/>
      <c r="W5" s="2263"/>
      <c r="X5" s="2263"/>
      <c r="Y5" s="2263"/>
      <c r="Z5" s="2263"/>
      <c r="AA5" s="2264"/>
      <c r="AB5" s="1956"/>
      <c r="AC5" s="2263">
        <f>INDEX(PT_DIFFERENTIATION_IST_TE,MATCH(D5,PT_DIFFERENTIATION_IST_TE_ID,0))</f>
      </c>
      <c r="AD5" s="2263"/>
      <c r="AE5" s="2263"/>
      <c r="AF5" s="2263"/>
      <c r="AG5" s="2263"/>
      <c r="AH5" s="2263"/>
      <c r="AI5" s="2263"/>
      <c r="AJ5" s="2264"/>
      <c r="AK5" s="1265" t="s">
        <v>401</v>
      </c>
      <c r="AM5" s="1631"/>
      <c r="AN5" s="1631" t="str">
        <f>IF(T5="","",T5)</f>
        <v>Источник тепловой энергии  </v>
      </c>
      <c r="AO5" s="1631"/>
      <c r="AP5" s="1631"/>
      <c r="AQ5" s="1638">
        <v>0</v>
      </c>
    </row>
    <row s="1649" customFormat="1" customHeight="1" ht="0.75" hidden="1">
      <c r="A6" s="1382"/>
      <c r="B6" s="1382"/>
      <c r="C6" s="1382"/>
      <c r="D6" s="1382"/>
      <c r="E6" s="2310"/>
      <c r="F6" s="2310"/>
      <c r="G6" s="2310"/>
      <c r="H6" s="2310"/>
      <c r="I6" s="2147">
        <f>S5&amp;".1"</f>
      </c>
      <c r="J6" s="1382"/>
      <c r="K6" s="1382"/>
      <c r="L6" s="1388" t="s">
        <v>402</v>
      </c>
      <c r="M6" s="1253"/>
      <c r="N6" s="1253"/>
      <c r="O6" s="1253"/>
      <c r="P6" s="2277">
        <v>1</v>
      </c>
      <c r="Q6" s="1958"/>
      <c r="R6" s="363"/>
      <c r="S6" s="1049"/>
      <c r="T6" s="1390"/>
      <c r="U6" s="1391"/>
      <c r="V6" s="2317"/>
      <c r="W6" s="2317"/>
      <c r="X6" s="2317"/>
      <c r="Y6" s="2317"/>
      <c r="Z6" s="2317"/>
      <c r="AA6" s="2318"/>
      <c r="AB6" s="1964"/>
      <c r="AC6" s="2317"/>
      <c r="AD6" s="2317"/>
      <c r="AE6" s="2317"/>
      <c r="AF6" s="2317"/>
      <c r="AG6" s="2317"/>
      <c r="AH6" s="2317"/>
      <c r="AI6" s="2317"/>
      <c r="AJ6" s="2318"/>
      <c r="AK6" s="1392"/>
      <c r="AM6" s="1631"/>
      <c r="AN6" s="1631" t="str">
        <f>IF(T6="","",T6)</f>
        <v/>
      </c>
      <c r="AO6" s="1631"/>
      <c r="AP6" s="1631"/>
      <c r="AQ6" s="1643">
        <v>0</v>
      </c>
    </row>
    <row s="1649" customFormat="1" customHeight="1" ht="0.75" hidden="1">
      <c r="A7" s="1382"/>
      <c r="B7" s="1382"/>
      <c r="C7" s="1382"/>
      <c r="D7" s="1382"/>
      <c r="E7" s="2310"/>
      <c r="F7" s="2310"/>
      <c r="G7" s="2310"/>
      <c r="H7" s="2310"/>
      <c r="I7" s="2121"/>
      <c r="J7" s="2147">
        <f>S5&amp;".1"</f>
      </c>
      <c r="K7" s="1382"/>
      <c r="L7" s="1388"/>
      <c r="M7" s="1253"/>
      <c r="N7" s="1253"/>
      <c r="O7" s="1253"/>
      <c r="P7" s="2277"/>
      <c r="Q7" s="2277">
        <v>1</v>
      </c>
      <c r="R7" s="364"/>
      <c r="S7" s="1049"/>
      <c r="T7" s="1406"/>
      <c r="U7" s="1391"/>
      <c r="V7" s="2317"/>
      <c r="W7" s="2317"/>
      <c r="X7" s="2317"/>
      <c r="Y7" s="2317"/>
      <c r="Z7" s="2317"/>
      <c r="AA7" s="2318"/>
      <c r="AB7" s="1964"/>
      <c r="AC7" s="2317"/>
      <c r="AD7" s="2317"/>
      <c r="AE7" s="2317"/>
      <c r="AF7" s="2317"/>
      <c r="AG7" s="2317"/>
      <c r="AH7" s="2317"/>
      <c r="AI7" s="2317"/>
      <c r="AJ7" s="2318"/>
      <c r="AK7" s="1392"/>
      <c r="AM7" s="1631"/>
      <c r="AN7" s="1631" t="str">
        <f>IF(T7="","",T7)</f>
        <v/>
      </c>
      <c r="AO7" s="1631"/>
      <c r="AP7" s="1631"/>
      <c r="AQ7" s="1643">
        <v>0</v>
      </c>
    </row>
    <row customHeight="1" ht="21" hidden="1">
      <c r="A8" s="1274"/>
      <c r="B8" s="1274"/>
      <c r="C8" s="1274"/>
      <c r="D8" s="1274"/>
      <c r="E8" s="2310"/>
      <c r="F8" s="2310"/>
      <c r="G8" s="2310"/>
      <c r="H8" s="2310"/>
      <c r="I8" s="2121"/>
      <c r="J8" s="2121"/>
      <c r="K8" s="1995">
        <f>S5&amp;".1"</f>
      </c>
      <c r="L8" s="1317"/>
      <c r="P8" s="2277"/>
      <c r="Q8" s="2277"/>
      <c r="R8" s="1999">
        <v>1</v>
      </c>
      <c r="S8" s="1997">
        <f>$K8</f>
      </c>
      <c r="T8" s="1998"/>
      <c r="U8" s="307"/>
      <c r="V8" s="758"/>
      <c r="W8" s="1264"/>
      <c r="X8" s="1996"/>
      <c r="Y8" s="1994" t="s">
        <v>61</v>
      </c>
      <c r="Z8" s="1996"/>
      <c r="AA8" s="1994" t="s">
        <v>61</v>
      </c>
      <c r="AB8" s="2000"/>
      <c r="AC8" s="2001" t="s">
        <v>22</v>
      </c>
      <c r="AD8" s="758"/>
      <c r="AE8" s="1264"/>
      <c r="AF8" s="1959"/>
      <c r="AG8" s="1946" t="s">
        <v>61</v>
      </c>
      <c r="AH8" s="1959"/>
      <c r="AI8" s="1946" t="s">
        <v>61</v>
      </c>
      <c r="AJ8" s="1355"/>
      <c r="AK8" s="2273" t="s">
        <v>463</v>
      </c>
      <c r="AL8" s="1643">
        <f>STRCHECKDATE(#REF!)</f>
      </c>
      <c r="AM8" s="1631"/>
      <c r="AN8" s="1631" t="str">
        <f>IF(T8="","",T8)</f>
        <v/>
      </c>
      <c r="AO8" s="1631"/>
      <c r="AP8" s="1631"/>
      <c r="AQ8" s="1638">
        <v>0</v>
      </c>
    </row>
    <row customHeight="1" ht="11.25" hidden="1">
      <c r="A9" s="1274"/>
      <c r="B9" s="1274"/>
      <c r="C9" s="1274"/>
      <c r="D9" s="1274"/>
      <c r="E9" s="2310"/>
      <c r="F9" s="2310"/>
      <c r="G9" s="2310"/>
      <c r="H9" s="2310"/>
      <c r="I9" s="2121"/>
      <c r="J9" s="2147"/>
      <c r="K9" s="1274"/>
      <c r="L9" s="1317"/>
      <c r="P9" s="2277"/>
      <c r="Q9" s="2277"/>
      <c r="R9" s="363"/>
      <c r="S9" s="1285"/>
      <c r="T9" s="294" t="s">
        <v>467</v>
      </c>
      <c r="U9" s="607"/>
      <c r="V9" s="607"/>
      <c r="W9" s="607"/>
      <c r="X9" s="607"/>
      <c r="Y9" s="607"/>
      <c r="Z9" s="607"/>
      <c r="AA9" s="607"/>
      <c r="AB9" s="607"/>
      <c r="AC9" s="607"/>
      <c r="AD9" s="607"/>
      <c r="AE9" s="607"/>
      <c r="AF9" s="607"/>
      <c r="AG9" s="607"/>
      <c r="AH9" s="607"/>
      <c r="AI9" s="607"/>
      <c r="AJ9" s="331"/>
      <c r="AK9" s="2275"/>
      <c r="AM9" s="1631"/>
      <c r="AN9" s="1631" t="str">
        <f>IF(T9="","",T9)</f>
        <v>Добавить строку</v>
      </c>
      <c r="AO9" s="1631"/>
      <c r="AP9" s="1631"/>
      <c r="AQ9" s="1638">
        <v>0</v>
      </c>
    </row>
    <row s="1649" customFormat="1" customHeight="1" ht="0.75" hidden="1">
      <c r="A10" s="1382"/>
      <c r="B10" s="1382"/>
      <c r="C10" s="1382"/>
      <c r="D10" s="1382"/>
      <c r="E10" s="2310"/>
      <c r="F10" s="2310"/>
      <c r="G10" s="2310"/>
      <c r="H10" s="2310"/>
      <c r="I10" s="2147"/>
      <c r="J10" s="1382"/>
      <c r="K10" s="1382"/>
      <c r="L10" s="1388"/>
      <c r="M10" s="1253"/>
      <c r="N10" s="1253"/>
      <c r="O10" s="1253"/>
      <c r="P10" s="2277"/>
      <c r="Q10" s="1958"/>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310"/>
      <c r="F11" s="2310"/>
      <c r="G11" s="2310"/>
      <c r="H11" s="2309"/>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310"/>
      <c r="F12" s="2310"/>
      <c r="G12" s="2309"/>
      <c r="H12" s="1381"/>
      <c r="I12" s="1381"/>
      <c r="J12" s="1381"/>
      <c r="K12" s="1381"/>
      <c r="L12" s="1384"/>
      <c r="M12" s="1385"/>
      <c r="N12" s="1385"/>
      <c r="O12" s="35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310"/>
      <c r="F13" s="2309"/>
      <c r="G13" s="1381"/>
      <c r="H13" s="1381"/>
      <c r="I13" s="1381"/>
      <c r="J13" s="1381"/>
      <c r="K13" s="1381"/>
      <c r="L13" s="1384"/>
      <c r="M13" s="1386"/>
      <c r="N13" s="1386"/>
      <c r="O13" s="358"/>
      <c r="P13" s="1323"/>
      <c r="Q13" s="1324"/>
      <c r="R13" s="1323"/>
      <c r="S13" s="1329"/>
      <c r="T13" s="1332" t="s">
        <v>414</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309"/>
      <c r="F14" s="1382"/>
      <c r="G14" s="1382"/>
      <c r="H14" s="1382"/>
      <c r="I14" s="1382"/>
      <c r="J14" s="1382"/>
      <c r="K14" s="1382"/>
      <c r="L14" s="1388"/>
      <c r="M14" s="1386"/>
      <c r="N14" s="1386"/>
      <c r="O14" s="358"/>
      <c r="P14" s="387"/>
      <c r="Q14" s="1351"/>
      <c r="R14" s="387"/>
      <c r="S14" s="1329"/>
      <c r="T14" s="1332" t="s">
        <v>415</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2"/>
      <c r="AG16" s="1970" t="s">
        <v>61</v>
      </c>
      <c r="AH16" s="1742"/>
      <c r="AI16" s="1970" t="s">
        <v>61</v>
      </c>
      <c r="AQ16" s="1638">
        <v>0</v>
      </c>
    </row>
    <row customHeight="1" ht="14.25" hidden="1">
      <c r="AL17" s="1648"/>
      <c r="AM17" s="1648"/>
      <c r="AN17" s="1648"/>
      <c r="AO17" s="1648"/>
      <c r="AP17" s="1648"/>
      <c r="AQ17" s="1638">
        <v>0</v>
      </c>
    </row>
    <row customHeight="1" ht="14.25" hidden="1">
      <c r="O18" s="1352" t="s">
        <v>416</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5"/>
      <c r="B20" s="1975"/>
      <c r="C20" s="1975"/>
      <c r="D20" s="1975"/>
      <c r="E20" s="1975"/>
      <c r="F20" s="1975"/>
      <c r="G20" s="1975"/>
      <c r="H20" s="1975"/>
      <c r="I20" s="1975"/>
      <c r="J20" s="1975"/>
      <c r="K20" s="1975"/>
      <c r="L20" s="1975"/>
      <c r="M20" s="1976"/>
      <c r="N20" s="1976"/>
      <c r="O20" s="1977" t="s">
        <v>417</v>
      </c>
      <c r="P20" s="1515"/>
      <c r="Q20" s="1517"/>
      <c r="R20" s="1517"/>
      <c r="Y20" s="1514" t="s">
        <v>419</v>
      </c>
      <c r="AA20" s="1514" t="s">
        <v>420</v>
      </c>
      <c r="AC20" s="1514" t="s">
        <v>469</v>
      </c>
      <c r="AG20" s="1514" t="s">
        <v>419</v>
      </c>
      <c r="AI20" s="1514" t="s">
        <v>420</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8"/>
      <c r="U24" s="2268"/>
      <c r="V24" s="2268"/>
      <c r="W24" s="2268"/>
      <c r="X24" s="2268"/>
      <c r="Y24" s="2268"/>
      <c r="Z24" s="2268"/>
      <c r="AA24" s="2268"/>
      <c r="AB24" s="2268"/>
      <c r="AC24" s="2268"/>
      <c r="AD24" s="2268"/>
      <c r="AE24" s="2268"/>
      <c r="AF24" s="2268"/>
      <c r="AG24" s="2268"/>
      <c r="AH24" s="2268"/>
      <c r="AI24" s="1250"/>
      <c r="AQ24" s="1638">
        <v>38</v>
      </c>
    </row>
    <row customHeight="1" ht="14.699999999999998">
      <c r="Q25" s="298"/>
      <c r="R25" s="383"/>
      <c r="S25" s="2269" t="str">
        <f>IF(org=0,"Не определено",org)</f>
        <v>ИМУП «ПОСЖИЛКОМСЕРВИС»</v>
      </c>
      <c r="T25" s="2269"/>
      <c r="U25" s="2269"/>
      <c r="V25" s="2269"/>
      <c r="W25" s="2269"/>
      <c r="X25" s="2269"/>
      <c r="Y25" s="2269"/>
      <c r="Z25" s="2269"/>
      <c r="AA25" s="2269"/>
      <c r="AB25" s="2269"/>
      <c r="AC25" s="2269"/>
      <c r="AD25" s="2269"/>
      <c r="AE25" s="2269"/>
      <c r="AF25" s="2269"/>
      <c r="AG25" s="2269"/>
      <c r="AH25" s="2269"/>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57" customFormat="1" customHeight="1" ht="25.5" hidden="1">
      <c r="A27" s="1255"/>
      <c r="B27" s="1255"/>
      <c r="C27" s="1255"/>
      <c r="D27" s="1255"/>
      <c r="E27" s="1255"/>
      <c r="F27" s="1255"/>
      <c r="G27" s="1255"/>
      <c r="H27" s="1255"/>
      <c r="I27" s="1255"/>
      <c r="J27" s="1255"/>
      <c r="K27" s="1255"/>
      <c r="L27" s="1387"/>
      <c r="M27" s="1255"/>
      <c r="N27" s="1255"/>
      <c r="O27" s="1255"/>
      <c r="P27" s="1375"/>
      <c r="Q27" s="1375"/>
      <c r="S27" s="2270" t="s">
        <v>41</v>
      </c>
      <c r="T27" s="2270"/>
      <c r="U27" s="1379"/>
      <c r="V27" s="2271" t="str">
        <f>IF(TITLE_NAME_OR_PR_CHANGE="",IF(TITLE_NAME_OR_PR="","",TITLE_NAME_OR_PR),TITLE_NAME_OR_PR_CHANGE)</f>
        <v/>
      </c>
      <c r="W27" s="2271"/>
      <c r="X27" s="2271"/>
      <c r="Y27" s="2271"/>
      <c r="Z27" s="2271"/>
      <c r="AA27" s="1642"/>
      <c r="AB27" s="1642"/>
      <c r="AC27" s="2271"/>
      <c r="AD27" s="2271"/>
      <c r="AE27" s="2271"/>
      <c r="AF27" s="2271"/>
      <c r="AG27" s="2271"/>
      <c r="AH27" s="2271"/>
      <c r="AI27" s="1642"/>
      <c r="AJ27" s="1642"/>
      <c r="AK27" s="287"/>
      <c r="AL27" s="375"/>
      <c r="AM27" s="375"/>
      <c r="AN27" s="375"/>
      <c r="AO27" s="375"/>
      <c r="AP27" s="375"/>
      <c r="AQ27" s="425">
        <v>0</v>
      </c>
    </row>
    <row s="1857" customFormat="1" customHeight="1" ht="18.75" hidden="1">
      <c r="A28" s="1255"/>
      <c r="B28" s="1255"/>
      <c r="C28" s="1255"/>
      <c r="D28" s="1255"/>
      <c r="E28" s="1255"/>
      <c r="F28" s="1255"/>
      <c r="G28" s="1255"/>
      <c r="H28" s="1255"/>
      <c r="I28" s="1255"/>
      <c r="J28" s="1255"/>
      <c r="K28" s="1255"/>
      <c r="L28" s="1387"/>
      <c r="M28" s="1255"/>
      <c r="N28" s="1255"/>
      <c r="O28" s="1255"/>
      <c r="P28" s="1375"/>
      <c r="Q28" s="1375"/>
      <c r="S28" s="2270" t="s">
        <v>422</v>
      </c>
      <c r="T28" s="2270"/>
      <c r="U28" s="1379"/>
      <c r="V28" s="2284" t="str">
        <f>IF(TITLE_DATE_PR_CHANGE="",IF(TITLE_DATE_PR="","",TITLE_DATE_PR),TITLE_DATE_PR_CHANGE)</f>
        <v/>
      </c>
      <c r="W28" s="2284"/>
      <c r="X28" s="2284"/>
      <c r="Y28" s="2284"/>
      <c r="Z28" s="2284"/>
      <c r="AA28" s="1642"/>
      <c r="AB28" s="1642"/>
      <c r="AC28" s="2284"/>
      <c r="AD28" s="2284"/>
      <c r="AE28" s="2284"/>
      <c r="AF28" s="2284"/>
      <c r="AG28" s="2284"/>
      <c r="AH28" s="2284"/>
      <c r="AI28" s="1642"/>
      <c r="AJ28" s="1642"/>
      <c r="AK28" s="287"/>
      <c r="AL28" s="375"/>
      <c r="AM28" s="375"/>
      <c r="AN28" s="375"/>
      <c r="AO28" s="375"/>
      <c r="AP28" s="375"/>
      <c r="AQ28" s="425">
        <v>0</v>
      </c>
    </row>
    <row s="1857" customFormat="1" customHeight="1" ht="18.75" hidden="1">
      <c r="A29" s="1255"/>
      <c r="B29" s="1255"/>
      <c r="C29" s="1255"/>
      <c r="D29" s="1255"/>
      <c r="E29" s="1255"/>
      <c r="F29" s="1255"/>
      <c r="G29" s="1255"/>
      <c r="H29" s="1255"/>
      <c r="I29" s="1255"/>
      <c r="J29" s="1255"/>
      <c r="K29" s="1255"/>
      <c r="L29" s="1387"/>
      <c r="M29" s="1255"/>
      <c r="N29" s="1255"/>
      <c r="O29" s="1255"/>
      <c r="P29" s="1375"/>
      <c r="Q29" s="1375"/>
      <c r="S29" s="2270" t="s">
        <v>423</v>
      </c>
      <c r="T29" s="2270"/>
      <c r="U29" s="1379"/>
      <c r="V29" s="2271" t="str">
        <f>IF(TITLE_NUMBER_PR_CHANGE="",IF(TITLE_NUMBER_PR="","",TITLE_NUMBER_PR),TITLE_NUMBER_PR_CHANGE)</f>
        <v/>
      </c>
      <c r="W29" s="2271"/>
      <c r="X29" s="2271"/>
      <c r="Y29" s="2271"/>
      <c r="Z29" s="2271"/>
      <c r="AA29" s="1642"/>
      <c r="AB29" s="1642"/>
      <c r="AC29" s="2271"/>
      <c r="AD29" s="2271"/>
      <c r="AE29" s="2271"/>
      <c r="AF29" s="2271"/>
      <c r="AG29" s="2271"/>
      <c r="AH29" s="2271"/>
      <c r="AI29" s="1642"/>
      <c r="AJ29" s="1642"/>
      <c r="AK29" s="287"/>
      <c r="AL29" s="375"/>
      <c r="AM29" s="375"/>
      <c r="AN29" s="375"/>
      <c r="AO29" s="375"/>
      <c r="AP29" s="375"/>
      <c r="AQ29" s="425">
        <v>0</v>
      </c>
    </row>
    <row s="1857" customFormat="1" customHeight="1" ht="18.75" hidden="1">
      <c r="A30" s="1255"/>
      <c r="B30" s="1255"/>
      <c r="C30" s="1255"/>
      <c r="D30" s="1255"/>
      <c r="E30" s="1255"/>
      <c r="F30" s="1255"/>
      <c r="G30" s="1255"/>
      <c r="H30" s="1255"/>
      <c r="I30" s="1255"/>
      <c r="J30" s="1255"/>
      <c r="K30" s="1255"/>
      <c r="L30" s="1387"/>
      <c r="M30" s="1255"/>
      <c r="N30" s="1255"/>
      <c r="O30" s="1255"/>
      <c r="P30" s="1375"/>
      <c r="Q30" s="1375"/>
      <c r="S30" s="2270" t="s">
        <v>42</v>
      </c>
      <c r="T30" s="2270"/>
      <c r="U30" s="1379"/>
      <c r="V30" s="2271" t="str">
        <f>IF(TITLE_IST_PUB_CHANGE="",IF(TITLE_IST_PUB="","",TITLE_IST_PUB),TITLE_IST_PUB_CHANGE)</f>
        <v/>
      </c>
      <c r="W30" s="2271"/>
      <c r="X30" s="2271"/>
      <c r="Y30" s="2271"/>
      <c r="Z30" s="2271"/>
      <c r="AA30" s="1642"/>
      <c r="AB30" s="1642"/>
      <c r="AC30" s="2271"/>
      <c r="AD30" s="2271"/>
      <c r="AE30" s="2271"/>
      <c r="AF30" s="2271"/>
      <c r="AG30" s="2271"/>
      <c r="AH30" s="2271"/>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57" customFormat="1" customHeight="1" ht="18.75" hidden="1">
      <c r="A32" s="1255"/>
      <c r="B32" s="1255"/>
      <c r="C32" s="1255"/>
      <c r="D32" s="1255"/>
      <c r="E32" s="1255"/>
      <c r="F32" s="1255"/>
      <c r="G32" s="1255"/>
      <c r="H32" s="1255"/>
      <c r="I32" s="1255"/>
      <c r="J32" s="1255"/>
      <c r="K32" s="1255"/>
      <c r="L32" s="1387"/>
      <c r="M32" s="1255"/>
      <c r="N32" s="1255"/>
      <c r="O32" s="1255"/>
      <c r="P32" s="1375"/>
      <c r="Q32" s="1375"/>
      <c r="S32" s="2270" t="s">
        <v>422</v>
      </c>
      <c r="T32" s="2270"/>
      <c r="U32" s="1379"/>
      <c r="V32" s="2284" t="str">
        <f>IF(TITLE_DATE_PR_CHANGE="",IF(TITLE_DATE_PR="","",TITLE_DATE_PR),TITLE_DATE_PR_CHANGE)</f>
        <v/>
      </c>
      <c r="W32" s="2284"/>
      <c r="X32" s="2284"/>
      <c r="Y32" s="2284"/>
      <c r="Z32" s="2284"/>
      <c r="AA32" s="1642"/>
      <c r="AB32" s="1642"/>
      <c r="AC32" s="2284"/>
      <c r="AD32" s="2284"/>
      <c r="AE32" s="2284"/>
      <c r="AF32" s="2284"/>
      <c r="AG32" s="2284"/>
      <c r="AH32" s="2284"/>
      <c r="AI32" s="1642"/>
      <c r="AJ32" s="1642"/>
      <c r="AK32" s="287"/>
      <c r="AL32" s="375"/>
      <c r="AM32" s="375"/>
      <c r="AN32" s="375"/>
      <c r="AO32" s="375"/>
      <c r="AP32" s="375"/>
      <c r="AQ32" s="425">
        <v>0</v>
      </c>
    </row>
    <row s="1857" customFormat="1" customHeight="1" ht="18" hidden="1">
      <c r="A33" s="1255"/>
      <c r="B33" s="1255"/>
      <c r="C33" s="1255"/>
      <c r="D33" s="1255"/>
      <c r="E33" s="1255"/>
      <c r="F33" s="1255"/>
      <c r="G33" s="1255"/>
      <c r="H33" s="1255"/>
      <c r="I33" s="1255"/>
      <c r="J33" s="1255"/>
      <c r="K33" s="1255"/>
      <c r="L33" s="1387"/>
      <c r="M33" s="1255"/>
      <c r="N33" s="1255"/>
      <c r="O33" s="1255"/>
      <c r="P33" s="1375"/>
      <c r="Q33" s="1375"/>
      <c r="S33" s="2270" t="s">
        <v>423</v>
      </c>
      <c r="T33" s="2270"/>
      <c r="U33" s="1379"/>
      <c r="V33" s="2271" t="str">
        <f>IF(TITLE_NUMBER_PR_CHANGE="",IF(TITLE_NUMBER_PR="","",TITLE_NUMBER_PR),TITLE_NUMBER_PR_CHANGE)</f>
        <v/>
      </c>
      <c r="W33" s="2271"/>
      <c r="X33" s="2271"/>
      <c r="Y33" s="2271"/>
      <c r="Z33" s="2271"/>
      <c r="AA33" s="1642"/>
      <c r="AB33" s="1642"/>
      <c r="AC33" s="2271"/>
      <c r="AD33" s="2271"/>
      <c r="AE33" s="2271"/>
      <c r="AF33" s="2271"/>
      <c r="AG33" s="2271"/>
      <c r="AH33" s="2271"/>
      <c r="AI33" s="1642"/>
      <c r="AJ33" s="1642"/>
      <c r="AK33" s="287"/>
      <c r="AL33" s="375"/>
      <c r="AM33" s="375"/>
      <c r="AN33" s="375"/>
      <c r="AO33" s="375"/>
      <c r="AP33" s="375"/>
      <c r="AQ33" s="425">
        <v>0</v>
      </c>
    </row>
    <row s="1857"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4"/>
      <c r="V34" s="1642"/>
      <c r="W34" s="1642"/>
      <c r="X34" s="1642"/>
      <c r="Y34" s="1642"/>
      <c r="Z34" s="1642"/>
      <c r="AA34" s="1649" t="s">
        <v>426</v>
      </c>
      <c r="AB34" s="1649"/>
      <c r="AC34" s="1642"/>
      <c r="AD34" s="1642"/>
      <c r="AE34" s="1642"/>
      <c r="AF34" s="1642"/>
      <c r="AG34" s="1642"/>
      <c r="AH34" s="1642"/>
      <c r="AI34" s="1649" t="s">
        <v>426</v>
      </c>
      <c r="AL34" s="375"/>
      <c r="AM34" s="375"/>
      <c r="AN34" s="375"/>
      <c r="AO34" s="375"/>
      <c r="AP34" s="375"/>
      <c r="AQ34" s="425">
        <v>1</v>
      </c>
    </row>
    <row customHeight="1" ht="14.699999999999998">
      <c r="Q35" s="298"/>
      <c r="R35" s="383"/>
      <c r="S35" s="1282"/>
      <c r="T35" s="464"/>
      <c r="U35" s="1251"/>
      <c r="V35" s="2272"/>
      <c r="W35" s="2272"/>
      <c r="X35" s="2272"/>
      <c r="Y35" s="2272"/>
      <c r="Z35" s="2272"/>
      <c r="AA35" s="2272"/>
      <c r="AB35" s="1961"/>
      <c r="AC35" s="2272"/>
      <c r="AD35" s="2272"/>
      <c r="AE35" s="2272"/>
      <c r="AF35" s="2272"/>
      <c r="AG35" s="2272"/>
      <c r="AH35" s="2272"/>
      <c r="AI35" s="2272"/>
      <c r="AQ35" s="1638">
        <v>14</v>
      </c>
    </row>
    <row customHeight="1" ht="14.699999999999998">
      <c r="Q36" s="298"/>
      <c r="R36" s="383"/>
      <c r="S36" s="2147" t="s">
        <v>299</v>
      </c>
      <c r="T36" s="2147"/>
      <c r="U36" s="2147"/>
      <c r="V36" s="2147"/>
      <c r="W36" s="2147"/>
      <c r="X36" s="2147"/>
      <c r="Y36" s="2147"/>
      <c r="Z36" s="2147"/>
      <c r="AA36" s="2195"/>
      <c r="AB36" s="2195"/>
      <c r="AC36" s="2195"/>
      <c r="AD36" s="2147"/>
      <c r="AE36" s="2147"/>
      <c r="AF36" s="2147"/>
      <c r="AG36" s="2147"/>
      <c r="AH36" s="2147"/>
      <c r="AI36" s="2147"/>
      <c r="AJ36" s="2147"/>
      <c r="AK36" s="2147" t="s">
        <v>300</v>
      </c>
      <c r="AQ36" s="1638">
        <v>14</v>
      </c>
    </row>
    <row customHeight="1" ht="14.699999999999998">
      <c r="Q37" s="298"/>
      <c r="R37" s="383"/>
      <c r="S37" s="2293" t="s">
        <v>87</v>
      </c>
      <c r="T37" s="2229" t="s">
        <v>498</v>
      </c>
      <c r="U37" s="344"/>
      <c r="V37" s="2295"/>
      <c r="W37" s="2295"/>
      <c r="X37" s="2295"/>
      <c r="Y37" s="2295"/>
      <c r="Z37" s="2295"/>
      <c r="AA37" s="2229" t="s">
        <v>429</v>
      </c>
      <c r="AB37" s="2228" t="s">
        <v>499</v>
      </c>
      <c r="AC37" s="2228" t="s">
        <v>473</v>
      </c>
      <c r="AD37" s="2311" t="s">
        <v>428</v>
      </c>
      <c r="AE37" s="2311"/>
      <c r="AF37" s="2295"/>
      <c r="AG37" s="2295"/>
      <c r="AH37" s="2296"/>
      <c r="AI37" s="2297" t="s">
        <v>429</v>
      </c>
      <c r="AJ37" s="2300" t="s">
        <v>431</v>
      </c>
      <c r="AK37" s="2147"/>
      <c r="AQ37" s="1638">
        <v>14</v>
      </c>
    </row>
    <row customHeight="1" ht="35.699999999999996">
      <c r="Q38" s="298"/>
      <c r="R38" s="383"/>
      <c r="S38" s="2293"/>
      <c r="T38" s="2229"/>
      <c r="U38" s="1038"/>
      <c r="V38" s="2123" t="s">
        <v>476</v>
      </c>
      <c r="W38" s="2147"/>
      <c r="X38" s="2314" t="s">
        <v>435</v>
      </c>
      <c r="Y38" s="2333"/>
      <c r="Z38" s="2333"/>
      <c r="AA38" s="2229"/>
      <c r="AB38" s="2228"/>
      <c r="AC38" s="2228"/>
      <c r="AD38" s="2123" t="s">
        <v>476</v>
      </c>
      <c r="AE38" s="2147"/>
      <c r="AF38" s="2333" t="s">
        <v>435</v>
      </c>
      <c r="AG38" s="2333"/>
      <c r="AH38" s="2334"/>
      <c r="AI38" s="2298"/>
      <c r="AJ38" s="2301"/>
      <c r="AK38" s="2147"/>
      <c r="AQ38" s="1638">
        <v>34</v>
      </c>
    </row>
    <row customHeight="1" ht="14.699999999999998">
      <c r="Q39" s="298"/>
      <c r="R39" s="383"/>
      <c r="S39" s="2293"/>
      <c r="T39" s="2229"/>
      <c r="U39" s="1038"/>
      <c r="V39" s="2360" t="str">
        <f>IF($AD$39&lt;&gt;"",$AD$39,"")</f>
        <v/>
      </c>
      <c r="W39" s="2360"/>
      <c r="X39" s="2315"/>
      <c r="Y39" s="2335"/>
      <c r="Z39" s="2335"/>
      <c r="AA39" s="2229"/>
      <c r="AB39" s="2228"/>
      <c r="AC39" s="2228"/>
      <c r="AD39" s="2376"/>
      <c r="AE39" s="2359"/>
      <c r="AF39" s="2335"/>
      <c r="AG39" s="2335"/>
      <c r="AH39" s="2336"/>
      <c r="AI39" s="2298"/>
      <c r="AJ39" s="2301"/>
      <c r="AK39" s="2147"/>
      <c r="AQ39" s="1638">
        <v>14</v>
      </c>
    </row>
    <row customHeight="1" ht="14.699999999999998">
      <c r="A40" s="1273"/>
      <c r="B40" s="1273" t="s">
        <v>136</v>
      </c>
      <c r="C40" s="1273" t="s">
        <v>137</v>
      </c>
      <c r="D40" s="1273" t="s">
        <v>138</v>
      </c>
      <c r="E40" s="1317" t="s">
        <v>436</v>
      </c>
      <c r="F40" s="1317" t="s">
        <v>437</v>
      </c>
      <c r="G40" s="1317" t="s">
        <v>438</v>
      </c>
      <c r="H40" s="1317" t="s">
        <v>439</v>
      </c>
      <c r="I40" s="1317" t="s">
        <v>440</v>
      </c>
      <c r="J40" s="1317" t="s">
        <v>441</v>
      </c>
      <c r="K40" s="1317" t="s">
        <v>442</v>
      </c>
      <c r="L40" s="1317" t="s">
        <v>417</v>
      </c>
      <c r="Q40" s="298"/>
      <c r="R40" s="383"/>
      <c r="S40" s="2293"/>
      <c r="T40" s="2229"/>
      <c r="U40" s="309"/>
      <c r="V40" s="1954" t="s">
        <v>477</v>
      </c>
      <c r="W40" s="1954" t="s">
        <v>478</v>
      </c>
      <c r="X40" s="1942" t="s">
        <v>445</v>
      </c>
      <c r="Y40" s="2290" t="s">
        <v>446</v>
      </c>
      <c r="Z40" s="2340"/>
      <c r="AA40" s="2229"/>
      <c r="AB40" s="2228"/>
      <c r="AC40" s="2228"/>
      <c r="AD40" s="1972" t="s">
        <v>477</v>
      </c>
      <c r="AE40" s="1963" t="s">
        <v>478</v>
      </c>
      <c r="AF40" s="1942" t="s">
        <v>445</v>
      </c>
      <c r="AG40" s="2290" t="s">
        <v>446</v>
      </c>
      <c r="AH40" s="2291"/>
      <c r="AI40" s="2299"/>
      <c r="AJ40" s="2302"/>
      <c r="AK40" s="2147"/>
      <c r="AQ40" s="1638">
        <v>14</v>
      </c>
    </row>
    <row s="1648" customFormat="1" customHeight="1" ht="11.25" hidden="1">
      <c r="A41" s="1273"/>
      <c r="B41" s="1273"/>
      <c r="C41" s="1273"/>
      <c r="D41" s="1273"/>
      <c r="E41" s="1273"/>
      <c r="F41" s="1273"/>
      <c r="G41" s="1273"/>
      <c r="H41" s="1273"/>
      <c r="I41" s="1273"/>
      <c r="J41" s="1273"/>
      <c r="K41" s="1273"/>
      <c r="L41" s="1317"/>
      <c r="M41" s="1969"/>
      <c r="N41" s="1969"/>
      <c r="O41" s="1969"/>
      <c r="P41" s="517"/>
      <c r="Q41" s="1261"/>
      <c r="R41" s="1261">
        <v>1</v>
      </c>
      <c r="S41" s="1284" t="s">
        <v>109</v>
      </c>
      <c r="T41" s="1262" t="s">
        <v>110</v>
      </c>
      <c r="U41" s="1252" t="str">
        <f>OFFSET(U41,0,-1)</f>
        <v>2</v>
      </c>
      <c r="V41" s="1960">
        <f>OFFSET(V41,0,-1)+1</f>
        <v>3</v>
      </c>
      <c r="W41" s="1960">
        <f>OFFSET(W41,0,-1)+1</f>
        <v>4</v>
      </c>
      <c r="X41" s="1960">
        <f>OFFSET(X41,0,-1)+1</f>
        <v>5</v>
      </c>
      <c r="Y41" s="2292">
        <f>OFFSET(Y41,0,-1)+1</f>
        <v>6</v>
      </c>
      <c r="Z41" s="2292"/>
      <c r="AA41" s="1348">
        <f>OFFSET(AA41,0,-2)+1</f>
        <v>7</v>
      </c>
      <c r="AB41" s="1348"/>
      <c r="AC41" s="1348"/>
      <c r="AD41" s="1960">
        <f>OFFSET(AD41,0,-1)+1</f>
        <v>1</v>
      </c>
      <c r="AE41" s="1960">
        <f>OFFSET(AE41,0,-1)+1</f>
        <v>2</v>
      </c>
      <c r="AF41" s="1960">
        <f>OFFSET(AF41,0,-1)+1</f>
        <v>3</v>
      </c>
      <c r="AG41" s="2292">
        <f>OFFSET(AG41,0,-1)+1</f>
        <v>4</v>
      </c>
      <c r="AH41" s="2292"/>
      <c r="AI41" s="1960">
        <f>OFFSET(AI41,0,-2)+1</f>
        <v>5</v>
      </c>
      <c r="AJ41" s="1252">
        <f>OFFSET(AJ41,0,-1)</f>
        <v>5</v>
      </c>
      <c r="AK41" s="1960">
        <f>OFFSET(AK41,0,-1)+1</f>
        <v>6</v>
      </c>
      <c r="AL41" s="1643"/>
      <c r="AM41" s="1643"/>
      <c r="AN41" s="1643"/>
      <c r="AO41" s="1643"/>
      <c r="AP41" s="1643"/>
      <c r="AQ41" s="1648">
        <v>0</v>
      </c>
    </row>
    <row customHeight="1" ht="107.25">
      <c r="A42" s="1274" t="s">
        <v>205</v>
      </c>
      <c r="B42" s="1274"/>
      <c r="C42" s="1274"/>
      <c r="D42" s="1274"/>
      <c r="E42" s="2309">
        <v>1</v>
      </c>
      <c r="F42" s="1274"/>
      <c r="G42" s="1274"/>
      <c r="H42" s="1274"/>
      <c r="I42" s="1274"/>
      <c r="J42" s="1274"/>
      <c r="K42" s="1274"/>
      <c r="L42" s="1317"/>
      <c r="M42" s="1617"/>
      <c r="N42" s="1617"/>
      <c r="O42" s="1617"/>
      <c r="P42" s="1416"/>
      <c r="Q42" s="880"/>
      <c r="R42" s="362"/>
      <c r="S42" s="1962">
        <f>INDEX(PT_DIFFERENTIATION_NUM_NTAR,MATCH(A42,PT_DIFFERENTIATION_NTAR_ID,0))</f>
        <v>0</v>
      </c>
      <c r="T42" s="1532" t="s">
        <v>124</v>
      </c>
      <c r="U42" s="307"/>
      <c r="V42" s="2263"/>
      <c r="W42" s="2263"/>
      <c r="X42" s="2263"/>
      <c r="Y42" s="2263"/>
      <c r="Z42" s="2263"/>
      <c r="AA42" s="2264"/>
      <c r="AB42" s="1956"/>
      <c r="AC42" s="2263" t="str">
        <f>INDEX(PT_DIFFERENTIATION_NTAR,MATCH(A42,PT_DIFFERENTIATION_NTAR_ID,0))</f>
        <v/>
      </c>
      <c r="AD42" s="2263"/>
      <c r="AE42" s="2263"/>
      <c r="AF42" s="2263"/>
      <c r="AG42" s="2263"/>
      <c r="AH42" s="2263"/>
      <c r="AI42" s="2263"/>
      <c r="AJ42" s="2264"/>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205</v>
      </c>
      <c r="B43" s="1274" t="s">
        <v>206</v>
      </c>
      <c r="C43" s="1274"/>
      <c r="D43" s="1274"/>
      <c r="E43" s="2310"/>
      <c r="F43" s="2309">
        <v>1</v>
      </c>
      <c r="G43" s="1274"/>
      <c r="H43" s="1274"/>
      <c r="I43" s="1274"/>
      <c r="J43" s="1274"/>
      <c r="K43" s="1274"/>
      <c r="L43" s="1317"/>
      <c r="M43" s="1617"/>
      <c r="N43" s="1617"/>
      <c r="O43" s="1617"/>
      <c r="P43" s="1973"/>
      <c r="Q43" s="1418"/>
      <c r="R43" s="360"/>
      <c r="S43" s="1962" t="str">
        <f>INDEX(PT_DIFFERENTIATION_NUM_TER,MATCH(B43,PT_DIFFERENTIATION_TER_ID,0))</f>
        <v>.</v>
      </c>
      <c r="T43" s="1529" t="s">
        <v>396</v>
      </c>
      <c r="U43" s="307"/>
      <c r="V43" s="2263"/>
      <c r="W43" s="2263"/>
      <c r="X43" s="2263"/>
      <c r="Y43" s="2263"/>
      <c r="Z43" s="2263"/>
      <c r="AA43" s="2264"/>
      <c r="AB43" s="1956"/>
      <c r="AC43" s="2263" t="str">
        <f>INDEX(PT_DIFFERENTIATION_TER,MATCH(B43,PT_DIFFERENTIATION_TER_ID,0))</f>
        <v/>
      </c>
      <c r="AD43" s="2263"/>
      <c r="AE43" s="2263"/>
      <c r="AF43" s="2263"/>
      <c r="AG43" s="2263"/>
      <c r="AH43" s="2263"/>
      <c r="AI43" s="2263"/>
      <c r="AJ43" s="2264"/>
      <c r="AK43" s="1265" t="s">
        <v>397</v>
      </c>
      <c r="AM43" s="1631"/>
      <c r="AN43" s="1631" t="str">
        <f>IF(T43="","",T43)</f>
        <v>Территория действия тарифа</v>
      </c>
      <c r="AO43" s="1631"/>
      <c r="AP43" s="1631"/>
      <c r="AQ43" s="1638">
        <v>21</v>
      </c>
    </row>
    <row customHeight="1" ht="24">
      <c r="A44" s="1274" t="s">
        <v>205</v>
      </c>
      <c r="B44" s="1274" t="s">
        <v>206</v>
      </c>
      <c r="C44" s="1274" t="s">
        <v>207</v>
      </c>
      <c r="D44" s="1274"/>
      <c r="E44" s="2310"/>
      <c r="F44" s="2310"/>
      <c r="G44" s="2309">
        <v>1</v>
      </c>
      <c r="H44" s="1274"/>
      <c r="I44" s="1274"/>
      <c r="J44" s="1274"/>
      <c r="K44" s="1274"/>
      <c r="L44" s="1317"/>
      <c r="M44" s="1617"/>
      <c r="N44" s="1617"/>
      <c r="O44" s="1617"/>
      <c r="P44" s="1419"/>
      <c r="Q44" s="1418"/>
      <c r="R44" s="360"/>
      <c r="S44" s="1962" t="str">
        <f>INDEX(PT_DIFFERENTIATION_NUM_CS,MATCH(C44,PT_DIFFERENTIATION_CS_ID,0))</f>
        <v>..</v>
      </c>
      <c r="T44" s="316" t="s">
        <v>398</v>
      </c>
      <c r="U44" s="307"/>
      <c r="V44" s="2263"/>
      <c r="W44" s="2263"/>
      <c r="X44" s="2263"/>
      <c r="Y44" s="2263"/>
      <c r="Z44" s="2263"/>
      <c r="AA44" s="2264"/>
      <c r="AB44" s="1956"/>
      <c r="AC44" s="2263" t="str">
        <f>INDEX(PT_DIFFERENTIATION_CS,MATCH(C44,PT_DIFFERENTIATION_CS_ID,0))</f>
        <v/>
      </c>
      <c r="AD44" s="2263"/>
      <c r="AE44" s="2263"/>
      <c r="AF44" s="2263"/>
      <c r="AG44" s="2263"/>
      <c r="AH44" s="2263"/>
      <c r="AI44" s="2263"/>
      <c r="AJ44" s="2264"/>
      <c r="AK44" s="1265" t="s">
        <v>399</v>
      </c>
      <c r="AM44" s="1631"/>
      <c r="AN44" s="1631" t="str">
        <f>IF(T44="","",T44)</f>
        <v>Наименование системы теплоснабжения </v>
      </c>
      <c r="AO44" s="1631"/>
      <c r="AP44" s="1631"/>
      <c r="AQ44" s="1638">
        <v>23</v>
      </c>
    </row>
    <row customHeight="1" ht="22.049999999999997">
      <c r="A45" s="1274" t="s">
        <v>205</v>
      </c>
      <c r="B45" s="1274" t="s">
        <v>206</v>
      </c>
      <c r="C45" s="1274" t="s">
        <v>207</v>
      </c>
      <c r="D45" s="1274" t="s">
        <v>208</v>
      </c>
      <c r="E45" s="2310"/>
      <c r="F45" s="2310"/>
      <c r="G45" s="2310"/>
      <c r="H45" s="2309">
        <v>1</v>
      </c>
      <c r="I45" s="1274"/>
      <c r="J45" s="1274"/>
      <c r="K45" s="1274"/>
      <c r="L45" s="1317"/>
      <c r="M45" s="1617"/>
      <c r="N45" s="1617"/>
      <c r="O45" s="1617"/>
      <c r="P45" s="1419"/>
      <c r="Q45" s="1418"/>
      <c r="R45" s="360"/>
      <c r="S45" s="1962" t="str">
        <f>INDEX(PT_DIFFERENTIATION_NUM_IST_TE,MATCH(D45,PT_DIFFERENTIATION_IST_TE_ID,0))</f>
        <v>...</v>
      </c>
      <c r="T45" s="317" t="s">
        <v>400</v>
      </c>
      <c r="U45" s="307"/>
      <c r="V45" s="2263"/>
      <c r="W45" s="2263"/>
      <c r="X45" s="2263"/>
      <c r="Y45" s="2263"/>
      <c r="Z45" s="2263"/>
      <c r="AA45" s="2264"/>
      <c r="AB45" s="1956"/>
      <c r="AC45" s="2263" t="str">
        <f>INDEX(PT_DIFFERENTIATION_IST_TE,MATCH(D45,PT_DIFFERENTIATION_IST_TE_ID,0))</f>
        <v/>
      </c>
      <c r="AD45" s="2263"/>
      <c r="AE45" s="2263"/>
      <c r="AF45" s="2263"/>
      <c r="AG45" s="2263"/>
      <c r="AH45" s="2263"/>
      <c r="AI45" s="2263"/>
      <c r="AJ45" s="2264"/>
      <c r="AK45" s="1265" t="s">
        <v>401</v>
      </c>
      <c r="AM45" s="1631"/>
      <c r="AN45" s="1631" t="str">
        <f>IF(T45="","",T45)</f>
        <v>Источник тепловой энергии  </v>
      </c>
      <c r="AO45" s="1631"/>
      <c r="AP45" s="1631"/>
      <c r="AQ45" s="1638">
        <v>21</v>
      </c>
    </row>
    <row s="1649" customFormat="1" customHeight="1" ht="0">
      <c r="A46" s="1382" t="s">
        <v>205</v>
      </c>
      <c r="B46" s="1382" t="s">
        <v>206</v>
      </c>
      <c r="C46" s="1382" t="s">
        <v>207</v>
      </c>
      <c r="D46" s="1382" t="s">
        <v>208</v>
      </c>
      <c r="E46" s="2310"/>
      <c r="F46" s="2310"/>
      <c r="G46" s="2310"/>
      <c r="H46" s="2310"/>
      <c r="I46" s="2147" t="str">
        <f>S45&amp;".1"</f>
        <v>....1</v>
      </c>
      <c r="J46" s="1382"/>
      <c r="K46" s="1382"/>
      <c r="L46" s="1388" t="s">
        <v>402</v>
      </c>
      <c r="M46" s="1253"/>
      <c r="N46" s="1253"/>
      <c r="O46" s="1253"/>
      <c r="P46" s="2277">
        <v>1</v>
      </c>
      <c r="Q46" s="1958"/>
      <c r="R46" s="363"/>
      <c r="S46" s="1049"/>
      <c r="T46" s="1390"/>
      <c r="U46" s="1391"/>
      <c r="V46" s="2317"/>
      <c r="W46" s="2317"/>
      <c r="X46" s="2317"/>
      <c r="Y46" s="2317"/>
      <c r="Z46" s="2317"/>
      <c r="AA46" s="2318"/>
      <c r="AB46" s="1964"/>
      <c r="AC46" s="2317"/>
      <c r="AD46" s="2317"/>
      <c r="AE46" s="2317"/>
      <c r="AF46" s="2317"/>
      <c r="AG46" s="2317"/>
      <c r="AH46" s="2317"/>
      <c r="AI46" s="2317"/>
      <c r="AJ46" s="2318"/>
      <c r="AK46" s="1392"/>
      <c r="AM46" s="1631"/>
      <c r="AN46" s="1631" t="str">
        <f>IF(T46="","",T46)</f>
        <v/>
      </c>
      <c r="AO46" s="1631"/>
      <c r="AP46" s="1631"/>
      <c r="AQ46" s="1643">
        <v>0</v>
      </c>
    </row>
    <row s="1649" customFormat="1" customHeight="1" ht="0">
      <c r="A47" s="1382" t="s">
        <v>205</v>
      </c>
      <c r="B47" s="1382" t="s">
        <v>206</v>
      </c>
      <c r="C47" s="1382" t="s">
        <v>207</v>
      </c>
      <c r="D47" s="1382" t="s">
        <v>208</v>
      </c>
      <c r="E47" s="2310"/>
      <c r="F47" s="2310"/>
      <c r="G47" s="2310"/>
      <c r="H47" s="2310"/>
      <c r="I47" s="2121"/>
      <c r="J47" s="2147" t="str">
        <f>S45&amp;".1"</f>
        <v>....1</v>
      </c>
      <c r="K47" s="1382"/>
      <c r="L47" s="1388"/>
      <c r="M47" s="1253"/>
      <c r="N47" s="1253"/>
      <c r="O47" s="1253"/>
      <c r="P47" s="2277"/>
      <c r="Q47" s="2277">
        <v>1</v>
      </c>
      <c r="R47" s="364"/>
      <c r="S47" s="1049"/>
      <c r="T47" s="1406"/>
      <c r="U47" s="1391"/>
      <c r="V47" s="2317"/>
      <c r="W47" s="2317"/>
      <c r="X47" s="2317"/>
      <c r="Y47" s="2317"/>
      <c r="Z47" s="2317"/>
      <c r="AA47" s="2318"/>
      <c r="AB47" s="1964"/>
      <c r="AC47" s="2317"/>
      <c r="AD47" s="2317"/>
      <c r="AE47" s="2317"/>
      <c r="AF47" s="2317"/>
      <c r="AG47" s="2317"/>
      <c r="AH47" s="2317"/>
      <c r="AI47" s="2317"/>
      <c r="AJ47" s="2318"/>
      <c r="AK47" s="1392"/>
      <c r="AM47" s="1631"/>
      <c r="AN47" s="1631" t="str">
        <f>IF(T47="","",T47)</f>
        <v/>
      </c>
      <c r="AO47" s="1631"/>
      <c r="AP47" s="1631"/>
      <c r="AQ47" s="1643">
        <v>0</v>
      </c>
    </row>
    <row customHeight="1" ht="22.049999999999997">
      <c r="A48" s="1274" t="s">
        <v>205</v>
      </c>
      <c r="B48" s="1274" t="s">
        <v>206</v>
      </c>
      <c r="C48" s="1274" t="s">
        <v>207</v>
      </c>
      <c r="D48" s="1274" t="s">
        <v>208</v>
      </c>
      <c r="E48" s="2310"/>
      <c r="F48" s="2310"/>
      <c r="G48" s="2310"/>
      <c r="H48" s="2310"/>
      <c r="I48" s="2121"/>
      <c r="J48" s="2121"/>
      <c r="K48" s="1945" t="str">
        <f>S45&amp;".1"</f>
        <v>....1</v>
      </c>
      <c r="L48" s="1317"/>
      <c r="P48" s="2277"/>
      <c r="Q48" s="2277"/>
      <c r="R48" s="364">
        <v>1</v>
      </c>
      <c r="S48" s="1966" t="str">
        <f>$K48</f>
        <v>....1</v>
      </c>
      <c r="T48" s="1965"/>
      <c r="U48" s="307"/>
      <c r="V48" s="758"/>
      <c r="W48" s="1264"/>
      <c r="X48" s="1959"/>
      <c r="Y48" s="1946" t="s">
        <v>61</v>
      </c>
      <c r="Z48" s="1959"/>
      <c r="AA48" s="1946" t="s">
        <v>61</v>
      </c>
      <c r="AB48" s="1968"/>
      <c r="AC48" s="1967" t="s">
        <v>22</v>
      </c>
      <c r="AD48" s="758"/>
      <c r="AE48" s="1264"/>
      <c r="AF48" s="1959"/>
      <c r="AG48" s="1946" t="s">
        <v>61</v>
      </c>
      <c r="AH48" s="1959"/>
      <c r="AI48" s="1946" t="s">
        <v>61</v>
      </c>
      <c r="AJ48" s="1355"/>
      <c r="AK48" s="2273" t="s">
        <v>479</v>
      </c>
      <c r="AL48" s="1643">
        <f>STRCHECKDATE(#REF!)</f>
      </c>
      <c r="AM48" s="1631"/>
      <c r="AN48" s="1631" t="str">
        <f>IF(T48="","",T48)</f>
        <v/>
      </c>
      <c r="AO48" s="1631"/>
      <c r="AP48" s="1631"/>
      <c r="AQ48" s="1638">
        <v>21</v>
      </c>
    </row>
    <row customHeight="1" ht="11.549999999999999">
      <c r="A49" s="1274" t="s">
        <v>205</v>
      </c>
      <c r="B49" s="1274" t="s">
        <v>206</v>
      </c>
      <c r="C49" s="1274" t="s">
        <v>207</v>
      </c>
      <c r="D49" s="1274" t="s">
        <v>208</v>
      </c>
      <c r="E49" s="2310"/>
      <c r="F49" s="2310"/>
      <c r="G49" s="2310"/>
      <c r="H49" s="2310"/>
      <c r="I49" s="2121"/>
      <c r="J49" s="2147"/>
      <c r="K49" s="1274"/>
      <c r="L49" s="1317"/>
      <c r="P49" s="2277"/>
      <c r="Q49" s="2277"/>
      <c r="R49" s="363"/>
      <c r="S49" s="1285"/>
      <c r="T49" s="294" t="s">
        <v>467</v>
      </c>
      <c r="U49" s="607"/>
      <c r="V49" s="607"/>
      <c r="W49" s="607"/>
      <c r="X49" s="607"/>
      <c r="Y49" s="607"/>
      <c r="Z49" s="607"/>
      <c r="AA49" s="331"/>
      <c r="AB49" s="607"/>
      <c r="AC49" s="607"/>
      <c r="AD49" s="607"/>
      <c r="AE49" s="607"/>
      <c r="AF49" s="607"/>
      <c r="AG49" s="607"/>
      <c r="AH49" s="607"/>
      <c r="AI49" s="607"/>
      <c r="AJ49" s="331"/>
      <c r="AK49" s="2275"/>
      <c r="AM49" s="1631"/>
      <c r="AN49" s="1631" t="str">
        <f>IF(T49="","",T49)</f>
        <v>Добавить строку</v>
      </c>
      <c r="AO49" s="1631"/>
      <c r="AP49" s="1631"/>
      <c r="AQ49" s="1638">
        <v>11</v>
      </c>
    </row>
    <row s="1649" customFormat="1" customHeight="1" ht="1.05">
      <c r="A50" s="1382" t="s">
        <v>205</v>
      </c>
      <c r="B50" s="1382" t="s">
        <v>206</v>
      </c>
      <c r="C50" s="1382" t="s">
        <v>207</v>
      </c>
      <c r="D50" s="1382" t="s">
        <v>208</v>
      </c>
      <c r="E50" s="2310"/>
      <c r="F50" s="2310"/>
      <c r="G50" s="2310"/>
      <c r="H50" s="2310"/>
      <c r="I50" s="2147"/>
      <c r="J50" s="1382"/>
      <c r="K50" s="1382"/>
      <c r="L50" s="1388"/>
      <c r="M50" s="1253"/>
      <c r="N50" s="1253"/>
      <c r="O50" s="1253"/>
      <c r="P50" s="2277"/>
      <c r="Q50" s="1958"/>
      <c r="R50" s="363"/>
      <c r="S50" s="1393"/>
      <c r="T50" s="1394" t="s">
        <v>411</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205</v>
      </c>
      <c r="B51" s="1382" t="s">
        <v>206</v>
      </c>
      <c r="C51" s="1382" t="s">
        <v>207</v>
      </c>
      <c r="D51" s="1382" t="s">
        <v>208</v>
      </c>
      <c r="E51" s="2310"/>
      <c r="F51" s="2310"/>
      <c r="G51" s="2310"/>
      <c r="H51" s="2309"/>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205</v>
      </c>
      <c r="B52" s="1382" t="s">
        <v>206</v>
      </c>
      <c r="C52" s="1382" t="s">
        <v>207</v>
      </c>
      <c r="D52" s="1381"/>
      <c r="E52" s="2310"/>
      <c r="F52" s="2310"/>
      <c r="G52" s="2309"/>
      <c r="H52" s="1381"/>
      <c r="I52" s="1381"/>
      <c r="J52" s="1381"/>
      <c r="K52" s="1381"/>
      <c r="L52" s="1384"/>
      <c r="M52" s="1385"/>
      <c r="N52" s="1385"/>
      <c r="O52" s="358"/>
      <c r="P52" s="1323"/>
      <c r="Q52" s="1324"/>
      <c r="R52" s="1323"/>
      <c r="S52" s="1329"/>
      <c r="T52" s="1332" t="s">
        <v>413</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205</v>
      </c>
      <c r="B53" s="1382" t="s">
        <v>206</v>
      </c>
      <c r="C53" s="1381"/>
      <c r="D53" s="1381"/>
      <c r="E53" s="2310"/>
      <c r="F53" s="2309"/>
      <c r="G53" s="1381"/>
      <c r="H53" s="1381"/>
      <c r="I53" s="1381"/>
      <c r="J53" s="1381"/>
      <c r="K53" s="1381"/>
      <c r="L53" s="1384"/>
      <c r="M53" s="1386"/>
      <c r="N53" s="1386"/>
      <c r="O53" s="358"/>
      <c r="P53" s="1323"/>
      <c r="Q53" s="1324"/>
      <c r="R53" s="1323"/>
      <c r="S53" s="1329"/>
      <c r="T53" s="1332" t="s">
        <v>414</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205</v>
      </c>
      <c r="B54" s="1382"/>
      <c r="C54" s="1382"/>
      <c r="D54" s="1382"/>
      <c r="E54" s="2310"/>
      <c r="F54" s="1382"/>
      <c r="G54" s="1382"/>
      <c r="H54" s="1382"/>
      <c r="I54" s="1382"/>
      <c r="J54" s="1382"/>
      <c r="K54" s="1382"/>
      <c r="L54" s="1388"/>
      <c r="M54" s="1386"/>
      <c r="N54" s="1386"/>
      <c r="O54" s="358"/>
      <c r="P54" s="387"/>
      <c r="Q54" s="1351"/>
      <c r="R54" s="387"/>
      <c r="S54" s="1329"/>
      <c r="T54" s="1332" t="s">
        <v>415</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205</v>
      </c>
      <c r="B55" s="1382"/>
      <c r="C55" s="1382"/>
      <c r="D55" s="1382"/>
      <c r="E55" s="2309"/>
      <c r="F55" s="1382"/>
      <c r="G55" s="1382"/>
      <c r="H55" s="1382"/>
      <c r="I55" s="1382"/>
      <c r="J55" s="1382"/>
      <c r="K55" s="1382"/>
      <c r="L55" s="1388"/>
      <c r="M55" s="1386"/>
      <c r="N55" s="1386"/>
      <c r="O55" s="358"/>
      <c r="P55" s="387"/>
      <c r="Q55" s="1351"/>
      <c r="R55" s="387"/>
      <c r="S55" s="1329"/>
      <c r="T55" s="1332" t="s">
        <v>415</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447</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305"/>
      <c r="U58" s="2305"/>
      <c r="V58" s="2305"/>
      <c r="W58" s="2305"/>
      <c r="X58" s="2305"/>
      <c r="Y58" s="2305"/>
      <c r="Z58" s="2305"/>
      <c r="AA58" s="2305"/>
      <c r="AB58" s="2305"/>
      <c r="AC58" s="2305"/>
      <c r="AD58" s="2305"/>
      <c r="AE58" s="2305"/>
      <c r="AF58" s="2305"/>
      <c r="AG58" s="2305"/>
      <c r="AH58" s="2305"/>
      <c r="AI58" s="2305"/>
      <c r="AJ58" s="2305"/>
      <c r="AK58" s="2305"/>
      <c r="AQ58" s="1638">
        <v>19</v>
      </c>
    </row>
    <row customHeight="1" ht="21">
      <c r="O59" s="1642"/>
      <c r="T59" s="2305"/>
      <c r="U59" s="2305"/>
      <c r="V59" s="2305"/>
      <c r="W59" s="2305"/>
      <c r="X59" s="2305"/>
      <c r="Y59" s="2305"/>
      <c r="Z59" s="2305"/>
      <c r="AA59" s="2305"/>
      <c r="AB59" s="2305"/>
      <c r="AC59" s="2305"/>
      <c r="AD59" s="2305"/>
      <c r="AE59" s="2305"/>
      <c r="AF59" s="2305"/>
      <c r="AG59" s="2305"/>
      <c r="AH59" s="2305"/>
      <c r="AI59" s="2305"/>
      <c r="AJ59" s="2305"/>
      <c r="AK59" s="2305"/>
      <c r="AQ59" s="1638">
        <v>20</v>
      </c>
    </row>
    <row customHeight="1" ht="14.699999999999998">
      <c r="O60" s="1642"/>
      <c r="T60" s="1957"/>
      <c r="U60" s="1957"/>
      <c r="V60" s="1957"/>
      <c r="W60" s="1957"/>
      <c r="X60" s="1957"/>
      <c r="Y60" s="1957"/>
      <c r="Z60" s="1957"/>
      <c r="AA60" s="1957"/>
      <c r="AB60" s="1957"/>
      <c r="AC60" s="1957"/>
      <c r="AD60" s="1957"/>
      <c r="AE60" s="1957"/>
      <c r="AF60" s="1957"/>
      <c r="AG60" s="1957"/>
      <c r="AH60" s="1957"/>
      <c r="AI60" s="1957"/>
      <c r="AJ60" s="1957"/>
      <c r="AK60" s="1957"/>
      <c r="AQ60" s="1638">
        <v>14</v>
      </c>
    </row>
    <row customHeight="1" ht="19.95">
      <c r="O61" s="1642"/>
      <c r="T61" s="2305"/>
      <c r="U61" s="2305"/>
      <c r="V61" s="2305"/>
      <c r="W61" s="2305"/>
      <c r="X61" s="2305"/>
      <c r="Y61" s="2305"/>
      <c r="Z61" s="2305"/>
      <c r="AA61" s="2305"/>
      <c r="AB61" s="2305"/>
      <c r="AC61" s="2305"/>
      <c r="AD61" s="2305"/>
      <c r="AE61" s="2305"/>
      <c r="AF61" s="2305"/>
      <c r="AG61" s="2305"/>
      <c r="AH61" s="2305"/>
      <c r="AI61" s="2305"/>
      <c r="AJ61" s="2305"/>
      <c r="AK61" s="2305"/>
      <c r="AQ61" s="1638">
        <v>19</v>
      </c>
    </row>
    <row customHeight="1" ht="16.8">
      <c r="O62" s="1642"/>
      <c r="T62" s="2305"/>
      <c r="U62" s="2305"/>
      <c r="V62" s="2305"/>
      <c r="W62" s="2305"/>
      <c r="X62" s="2305"/>
      <c r="Y62" s="2305"/>
      <c r="Z62" s="2305"/>
      <c r="AA62" s="2305"/>
      <c r="AB62" s="2305"/>
      <c r="AC62" s="2305"/>
      <c r="AD62" s="2305"/>
      <c r="AE62" s="2305"/>
      <c r="AF62" s="2305"/>
      <c r="AG62" s="2305"/>
      <c r="AH62" s="2305"/>
      <c r="AI62" s="2305"/>
      <c r="AJ62" s="2305"/>
      <c r="AK62" s="2305"/>
      <c r="AQ62" s="1638">
        <v>16</v>
      </c>
    </row>
    <row customHeight="1" ht="14.699999999999998">
      <c r="O63" s="1642"/>
      <c r="AQ63" s="1638">
        <v>14</v>
      </c>
    </row>
    <row customHeight="1" ht="22.5" hidden="1">
      <c r="A64" s="1638" t="s">
        <v>81</v>
      </c>
      <c r="B64" s="1638">
        <v>0</v>
      </c>
      <c r="C64" s="1638">
        <v>0</v>
      </c>
      <c r="D64" s="1638">
        <v>0</v>
      </c>
      <c r="E64" s="1638">
        <v>0</v>
      </c>
      <c r="F64" s="1638">
        <v>0</v>
      </c>
      <c r="G64" s="1638">
        <v>0</v>
      </c>
      <c r="H64" s="1638">
        <v>0</v>
      </c>
      <c r="I64" s="1638">
        <v>0</v>
      </c>
      <c r="J64" s="1638">
        <v>0</v>
      </c>
      <c r="K64" s="1638">
        <v>0</v>
      </c>
      <c r="L64" s="1943">
        <v>0</v>
      </c>
      <c r="M64" s="1969">
        <v>0</v>
      </c>
      <c r="N64" s="1969">
        <v>0</v>
      </c>
      <c r="O64" s="1969">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CABCB-D97D-B0D3-FE29-0.7E5100C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27"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27"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78">
        <v>1</v>
      </c>
      <c r="F2" s="1370"/>
      <c r="G2" s="1370"/>
      <c r="H2" s="1370"/>
      <c r="I2" s="1370"/>
      <c r="J2" s="1370"/>
      <c r="K2" s="1370"/>
      <c r="L2" s="1371"/>
      <c r="M2" s="1372"/>
      <c r="N2" s="1372"/>
      <c r="O2" s="1372"/>
      <c r="P2" s="1416"/>
      <c r="Q2" s="880"/>
      <c r="R2" s="362"/>
      <c r="S2" s="1472">
        <f>INDEX(PT_DIFFERENTIATION_NUM_NTAR,MATCH(A2,PT_DIFFERENTIATION_NTAR_ID,0))</f>
      </c>
      <c r="T2" s="305" t="s">
        <v>124</v>
      </c>
      <c r="U2" s="307"/>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79"/>
      <c r="F3" s="2278">
        <v>1</v>
      </c>
      <c r="G3" s="1370"/>
      <c r="H3" s="1370"/>
      <c r="I3" s="1370"/>
      <c r="J3" s="1370"/>
      <c r="K3" s="1370"/>
      <c r="L3" s="1371"/>
      <c r="M3" s="1372"/>
      <c r="N3" s="1372"/>
      <c r="O3" s="1372"/>
      <c r="P3" s="1417"/>
      <c r="Q3" s="1418"/>
      <c r="R3" s="360"/>
      <c r="S3" s="1472">
        <f>INDEX(PT_DIFFERENTIATION_NUM_TER,MATCH(B3,PT_DIFFERENTIATION_TER_ID,0))</f>
      </c>
      <c r="T3" s="315" t="s">
        <v>396</v>
      </c>
      <c r="U3" s="307"/>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65" t="s">
        <v>397</v>
      </c>
      <c r="BE3" s="507"/>
      <c r="BF3" s="507" t="str">
        <f>IF(T3="","",T3)</f>
        <v>Территория действия тарифа</v>
      </c>
      <c r="BG3" s="507"/>
      <c r="BH3" s="507"/>
      <c r="BI3" s="1162">
        <v>0</v>
      </c>
    </row>
    <row customHeight="1" ht="42" hidden="1">
      <c r="A4" s="1370"/>
      <c r="B4" s="1370"/>
      <c r="C4" s="1370"/>
      <c r="D4" s="1370"/>
      <c r="E4" s="2279"/>
      <c r="F4" s="2279"/>
      <c r="G4" s="2278">
        <v>1</v>
      </c>
      <c r="H4" s="1370"/>
      <c r="I4" s="1370"/>
      <c r="J4" s="1370"/>
      <c r="K4" s="1370"/>
      <c r="L4" s="1371"/>
      <c r="M4" s="1372"/>
      <c r="N4" s="1372"/>
      <c r="O4" s="1372"/>
      <c r="P4" s="1419"/>
      <c r="Q4" s="1418"/>
      <c r="R4" s="360"/>
      <c r="S4" s="1472">
        <f>INDEX(PT_DIFFERENTIATION_NUM_CS,MATCH(C4,PT_DIFFERENTIATION_CS_ID,0))</f>
      </c>
      <c r="T4" s="316" t="s">
        <v>480</v>
      </c>
      <c r="U4" s="307"/>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65" t="s">
        <v>481</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79"/>
      <c r="F5" s="2279"/>
      <c r="G5" s="2279"/>
      <c r="H5" s="2278">
        <v>1</v>
      </c>
      <c r="I5" s="1350"/>
      <c r="J5" s="1350"/>
      <c r="K5" s="1350"/>
      <c r="L5" s="1353"/>
      <c r="M5" s="1322"/>
      <c r="N5" s="1322"/>
      <c r="O5" s="1322"/>
      <c r="P5" s="1504"/>
      <c r="Q5" s="1505"/>
      <c r="R5" s="364"/>
      <c r="S5" s="1049"/>
      <c r="T5" s="1506"/>
      <c r="U5" s="1391"/>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92" t="s">
        <v>401</v>
      </c>
      <c r="BE5" s="507"/>
      <c r="BF5" s="507" t="str">
        <f>IF(T5="","",T5)</f>
        <v/>
      </c>
      <c r="BG5" s="507"/>
      <c r="BH5" s="507"/>
      <c r="BI5" s="518">
        <v>0</v>
      </c>
    </row>
    <row s="1649" customFormat="1" customHeight="1" ht="14.25" hidden="1">
      <c r="A6" s="1350"/>
      <c r="B6" s="1350"/>
      <c r="C6" s="1350"/>
      <c r="D6" s="1350"/>
      <c r="E6" s="2279"/>
      <c r="F6" s="2279"/>
      <c r="G6" s="2279"/>
      <c r="H6" s="2279"/>
      <c r="I6" s="2276" t="str">
        <f>S5&amp;".1"</f>
        <v>.1</v>
      </c>
      <c r="J6" s="1350"/>
      <c r="K6" s="1350"/>
      <c r="L6" s="1353" t="s">
        <v>402</v>
      </c>
      <c r="M6" s="517"/>
      <c r="N6" s="517"/>
      <c r="O6" s="517"/>
      <c r="P6" s="2277">
        <v>1</v>
      </c>
      <c r="Q6" s="1469"/>
      <c r="R6" s="363"/>
      <c r="S6" s="1049"/>
      <c r="T6" s="1390"/>
      <c r="U6" s="1391"/>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92"/>
      <c r="BE6" s="507"/>
      <c r="BF6" s="507" t="str">
        <f>IF(T6="","",T6)</f>
        <v/>
      </c>
      <c r="BG6" s="507"/>
      <c r="BH6" s="507"/>
      <c r="BI6" s="518">
        <v>0</v>
      </c>
    </row>
    <row s="1649" customFormat="1" customHeight="1" ht="14.25" hidden="1">
      <c r="A7" s="1350"/>
      <c r="B7" s="1350"/>
      <c r="C7" s="1350"/>
      <c r="D7" s="1350"/>
      <c r="E7" s="2279"/>
      <c r="F7" s="2279"/>
      <c r="G7" s="2279"/>
      <c r="H7" s="2279"/>
      <c r="I7" s="2306"/>
      <c r="J7" s="2276" t="str">
        <f>S5&amp;".1"</f>
        <v>.1</v>
      </c>
      <c r="K7" s="1350"/>
      <c r="L7" s="1353"/>
      <c r="M7" s="517"/>
      <c r="N7" s="517"/>
      <c r="O7" s="517"/>
      <c r="P7" s="2277"/>
      <c r="Q7" s="2277">
        <v>1</v>
      </c>
      <c r="R7" s="364"/>
      <c r="S7" s="1049"/>
      <c r="T7" s="1406"/>
      <c r="U7" s="1391"/>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92"/>
      <c r="BE7" s="507"/>
      <c r="BF7" s="507" t="str">
        <f>IF(T7="","",T7)</f>
        <v/>
      </c>
      <c r="BG7" s="507"/>
      <c r="BH7" s="507"/>
      <c r="BI7" s="518">
        <v>0</v>
      </c>
    </row>
    <row customHeight="1" ht="11.25" hidden="1">
      <c r="A8" s="1370"/>
      <c r="B8" s="1370"/>
      <c r="C8" s="1370"/>
      <c r="D8" s="1370"/>
      <c r="E8" s="2279"/>
      <c r="F8" s="2279"/>
      <c r="G8" s="2279"/>
      <c r="H8" s="2279"/>
      <c r="I8" s="2306"/>
      <c r="J8" s="2306"/>
      <c r="K8" s="2276">
        <f>S4&amp;".1"</f>
      </c>
      <c r="L8" s="1371"/>
      <c r="P8" s="2277"/>
      <c r="Q8" s="2277"/>
      <c r="R8" s="2367">
        <v>1</v>
      </c>
      <c r="S8" s="2361">
        <f>$K8</f>
      </c>
      <c r="T8" s="2380"/>
      <c r="U8" s="307"/>
      <c r="V8" s="758"/>
      <c r="W8" s="1264"/>
      <c r="X8" s="758"/>
      <c r="Y8" s="1264"/>
      <c r="Z8" s="1740"/>
      <c r="AA8" s="1466" t="s">
        <v>61</v>
      </c>
      <c r="AB8" s="1740"/>
      <c r="AC8" s="1466" t="s">
        <v>61</v>
      </c>
      <c r="AD8" s="2205" t="s">
        <v>61</v>
      </c>
      <c r="AE8" s="2346"/>
      <c r="AF8" s="2225">
        <v>1</v>
      </c>
      <c r="AG8" s="2383"/>
      <c r="AH8" s="2127" t="s">
        <v>61</v>
      </c>
      <c r="AI8" s="2346"/>
      <c r="AJ8" s="2225">
        <v>1</v>
      </c>
      <c r="AK8" s="2347" t="s">
        <v>22</v>
      </c>
      <c r="AL8" s="2127" t="s">
        <v>61</v>
      </c>
      <c r="AM8" s="2212"/>
      <c r="AN8" s="2225">
        <v>1</v>
      </c>
      <c r="AO8" s="2377"/>
      <c r="AP8" s="2378" t="s">
        <v>61</v>
      </c>
      <c r="AQ8" s="318"/>
      <c r="AR8" s="1470">
        <v>1</v>
      </c>
      <c r="AS8" s="1473" t="s">
        <v>22</v>
      </c>
      <c r="AT8" s="758"/>
      <c r="AU8" s="1264"/>
      <c r="AV8" s="758"/>
      <c r="AW8" s="1264"/>
      <c r="AX8" s="1740"/>
      <c r="AY8" s="1466" t="s">
        <v>61</v>
      </c>
      <c r="AZ8" s="1740"/>
      <c r="BA8" s="1466" t="s">
        <v>61</v>
      </c>
      <c r="BB8" s="1355"/>
      <c r="BC8" s="2273" t="s">
        <v>500</v>
      </c>
      <c r="BE8" s="507"/>
      <c r="BF8" s="507" t="str">
        <f>IF(T8="","",T8)</f>
        <v/>
      </c>
      <c r="BG8" s="507"/>
      <c r="BH8" s="507"/>
      <c r="BI8" s="1162">
        <v>0</v>
      </c>
    </row>
    <row customHeight="1" ht="11.25" hidden="1">
      <c r="A9" s="1370"/>
      <c r="B9" s="1370"/>
      <c r="C9" s="1370"/>
      <c r="D9" s="1370"/>
      <c r="E9" s="2279"/>
      <c r="F9" s="2279"/>
      <c r="G9" s="2279"/>
      <c r="H9" s="2279"/>
      <c r="I9" s="2306"/>
      <c r="J9" s="2306"/>
      <c r="K9" s="2276"/>
      <c r="L9" s="1371"/>
      <c r="P9" s="2277"/>
      <c r="Q9" s="2277"/>
      <c r="R9" s="2367"/>
      <c r="S9" s="2362"/>
      <c r="T9" s="2381"/>
      <c r="U9" s="307"/>
      <c r="V9" s="1400"/>
      <c r="W9" s="1503"/>
      <c r="X9" s="1400"/>
      <c r="Y9" s="1503"/>
      <c r="Z9" s="1400"/>
      <c r="AA9" s="1400"/>
      <c r="AB9" s="1400"/>
      <c r="AC9" s="1400"/>
      <c r="AD9" s="2206"/>
      <c r="AE9" s="2346"/>
      <c r="AF9" s="2225"/>
      <c r="AG9" s="2383"/>
      <c r="AH9" s="2127"/>
      <c r="AI9" s="2346"/>
      <c r="AJ9" s="2225"/>
      <c r="AK9" s="2347"/>
      <c r="AL9" s="2127"/>
      <c r="AM9" s="2220"/>
      <c r="AN9" s="2225"/>
      <c r="AO9" s="2377"/>
      <c r="AP9" s="2379"/>
      <c r="AQ9" s="323"/>
      <c r="AR9" s="423"/>
      <c r="AS9" s="423" t="s">
        <v>501</v>
      </c>
      <c r="AT9" s="1400"/>
      <c r="AU9" s="1503"/>
      <c r="AV9" s="1400"/>
      <c r="AW9" s="1503"/>
      <c r="AX9" s="1400"/>
      <c r="AY9" s="1400"/>
      <c r="AZ9" s="1400"/>
      <c r="BA9" s="1400"/>
      <c r="BB9" s="1404"/>
      <c r="BC9" s="2274"/>
      <c r="BE9" s="507"/>
      <c r="BF9" s="507"/>
      <c r="BG9" s="507"/>
      <c r="BH9" s="507"/>
      <c r="BI9" s="1162">
        <v>0</v>
      </c>
    </row>
    <row customHeight="1" ht="11.25" hidden="1">
      <c r="A10" s="1370"/>
      <c r="B10" s="1370"/>
      <c r="C10" s="1370"/>
      <c r="D10" s="1370"/>
      <c r="E10" s="2279"/>
      <c r="F10" s="2279"/>
      <c r="G10" s="2279"/>
      <c r="H10" s="2279"/>
      <c r="I10" s="2306"/>
      <c r="J10" s="2306"/>
      <c r="K10" s="2276"/>
      <c r="L10" s="1371"/>
      <c r="P10" s="2277"/>
      <c r="Q10" s="2277"/>
      <c r="R10" s="2367"/>
      <c r="S10" s="2362"/>
      <c r="T10" s="2381"/>
      <c r="U10" s="307"/>
      <c r="V10" s="1400"/>
      <c r="W10" s="1503"/>
      <c r="X10" s="1400"/>
      <c r="Y10" s="1503"/>
      <c r="Z10" s="1400"/>
      <c r="AA10" s="1400"/>
      <c r="AB10" s="1400"/>
      <c r="AC10" s="1400"/>
      <c r="AD10" s="2206"/>
      <c r="AE10" s="2346"/>
      <c r="AF10" s="2225"/>
      <c r="AG10" s="2383"/>
      <c r="AH10" s="2127"/>
      <c r="AI10" s="2346"/>
      <c r="AJ10" s="2225"/>
      <c r="AK10" s="2347"/>
      <c r="AL10" s="2127"/>
      <c r="AM10" s="323"/>
      <c r="AN10" s="1507"/>
      <c r="AO10" s="1507" t="s">
        <v>502</v>
      </c>
      <c r="AP10" s="423"/>
      <c r="AQ10" s="423"/>
      <c r="AR10" s="423"/>
      <c r="AS10" s="1400"/>
      <c r="AT10" s="1400"/>
      <c r="AU10" s="1503"/>
      <c r="AV10" s="1400"/>
      <c r="AW10" s="1503"/>
      <c r="AX10" s="1400"/>
      <c r="AY10" s="1400"/>
      <c r="AZ10" s="1400"/>
      <c r="BA10" s="1400"/>
      <c r="BB10" s="1404"/>
      <c r="BC10" s="2274"/>
      <c r="BE10" s="507"/>
      <c r="BF10" s="507"/>
      <c r="BG10" s="507"/>
      <c r="BH10" s="507"/>
      <c r="BI10" s="1162">
        <v>0</v>
      </c>
    </row>
    <row customHeight="1" ht="11.25" hidden="1">
      <c r="A11" s="1370"/>
      <c r="B11" s="1370"/>
      <c r="C11" s="1370"/>
      <c r="D11" s="1370"/>
      <c r="E11" s="2279"/>
      <c r="F11" s="2279"/>
      <c r="G11" s="2279"/>
      <c r="H11" s="2279"/>
      <c r="I11" s="2306"/>
      <c r="J11" s="2306"/>
      <c r="K11" s="2276"/>
      <c r="L11" s="1371"/>
      <c r="P11" s="2277"/>
      <c r="Q11" s="2277"/>
      <c r="R11" s="2367"/>
      <c r="S11" s="2362"/>
      <c r="T11" s="2381"/>
      <c r="U11" s="307"/>
      <c r="V11" s="1400"/>
      <c r="W11" s="1503"/>
      <c r="X11" s="1400"/>
      <c r="Y11" s="1503"/>
      <c r="Z11" s="1400"/>
      <c r="AA11" s="1400"/>
      <c r="AB11" s="1400"/>
      <c r="AC11" s="1400"/>
      <c r="AD11" s="2206"/>
      <c r="AE11" s="2346"/>
      <c r="AF11" s="2225"/>
      <c r="AG11" s="2383"/>
      <c r="AH11" s="2127"/>
      <c r="AI11" s="301"/>
      <c r="AJ11" s="422"/>
      <c r="AK11" s="320" t="s">
        <v>503</v>
      </c>
      <c r="AL11" s="1400"/>
      <c r="AM11" s="1400"/>
      <c r="AN11" s="1400"/>
      <c r="AO11" s="1400"/>
      <c r="AP11" s="1400"/>
      <c r="AQ11" s="1400"/>
      <c r="AR11" s="1400"/>
      <c r="AS11" s="1400"/>
      <c r="AT11" s="1400"/>
      <c r="AU11" s="1503"/>
      <c r="AV11" s="1400"/>
      <c r="AW11" s="1503"/>
      <c r="AX11" s="1400"/>
      <c r="AY11" s="1400"/>
      <c r="AZ11" s="1400"/>
      <c r="BA11" s="1400"/>
      <c r="BB11" s="1404"/>
      <c r="BC11" s="2274"/>
      <c r="BE11" s="507"/>
      <c r="BF11" s="507"/>
      <c r="BG11" s="507"/>
      <c r="BH11" s="507"/>
      <c r="BI11" s="1162">
        <v>0</v>
      </c>
    </row>
    <row customHeight="1" ht="11.25" hidden="1">
      <c r="A12" s="1370"/>
      <c r="B12" s="1370"/>
      <c r="C12" s="1370"/>
      <c r="D12" s="1370"/>
      <c r="E12" s="2279"/>
      <c r="F12" s="2279"/>
      <c r="G12" s="2279"/>
      <c r="H12" s="2279"/>
      <c r="I12" s="2306"/>
      <c r="J12" s="2306"/>
      <c r="K12" s="2276"/>
      <c r="L12" s="1371"/>
      <c r="P12" s="2277"/>
      <c r="Q12" s="2277"/>
      <c r="R12" s="2367"/>
      <c r="S12" s="2363"/>
      <c r="T12" s="2382"/>
      <c r="U12" s="307"/>
      <c r="V12" s="1400"/>
      <c r="W12" s="1401" t="str">
        <f>Z8&amp;"-"&amp;AB8</f>
        <v>-</v>
      </c>
      <c r="X12" s="1400"/>
      <c r="Y12" s="1401" t="str">
        <f>AB8&amp;"-"&amp;AD8</f>
        <v>-да</v>
      </c>
      <c r="Z12" s="1400"/>
      <c r="AA12" s="1400"/>
      <c r="AB12" s="1400"/>
      <c r="AC12" s="1400"/>
      <c r="AD12" s="2132"/>
      <c r="AE12" s="319"/>
      <c r="AF12" s="321"/>
      <c r="AG12" s="423" t="s">
        <v>504</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74"/>
      <c r="BE12" s="507"/>
      <c r="BF12" s="507" t="str">
        <f>IF(T12="","",T12)</f>
        <v/>
      </c>
      <c r="BG12" s="507"/>
      <c r="BH12" s="507"/>
      <c r="BI12" s="1162">
        <v>0</v>
      </c>
    </row>
    <row customHeight="1" ht="11.25" hidden="1">
      <c r="A13" s="1370"/>
      <c r="B13" s="1370"/>
      <c r="C13" s="1370"/>
      <c r="D13" s="1370"/>
      <c r="E13" s="2279"/>
      <c r="F13" s="2279"/>
      <c r="G13" s="2279"/>
      <c r="H13" s="2279"/>
      <c r="I13" s="2306"/>
      <c r="J13" s="2276"/>
      <c r="K13" s="1370"/>
      <c r="L13" s="1371"/>
      <c r="P13" s="2277"/>
      <c r="Q13" s="2277"/>
      <c r="R13" s="363"/>
      <c r="S13" s="1285"/>
      <c r="T13" s="294" t="s">
        <v>467</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75"/>
      <c r="BE13" s="507"/>
      <c r="BF13" s="507" t="str">
        <f>IF(T13="","",T13)</f>
        <v>Добавить строку</v>
      </c>
      <c r="BG13" s="507"/>
      <c r="BH13" s="507"/>
      <c r="BI13" s="1162">
        <v>0</v>
      </c>
    </row>
    <row s="1649" customFormat="1" customHeight="1" ht="14.25" hidden="1">
      <c r="A14" s="1350"/>
      <c r="B14" s="1350"/>
      <c r="C14" s="1350"/>
      <c r="D14" s="1350"/>
      <c r="E14" s="2279"/>
      <c r="F14" s="2279"/>
      <c r="G14" s="2279"/>
      <c r="H14" s="2279"/>
      <c r="I14" s="2276"/>
      <c r="J14" s="1350"/>
      <c r="K14" s="1350"/>
      <c r="L14" s="1353"/>
      <c r="M14" s="517"/>
      <c r="N14" s="517"/>
      <c r="O14" s="517"/>
      <c r="P14" s="2277"/>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79"/>
      <c r="F15" s="2279"/>
      <c r="G15" s="2279"/>
      <c r="H15" s="2278"/>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79"/>
      <c r="F16" s="2279"/>
      <c r="G16" s="2278"/>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79"/>
      <c r="F17" s="2278"/>
      <c r="G17" s="1321"/>
      <c r="H17" s="1321"/>
      <c r="I17" s="1321"/>
      <c r="J17" s="1321"/>
      <c r="K17" s="1321"/>
      <c r="L17" s="147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78"/>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67" t="s">
        <v>61</v>
      </c>
      <c r="AZ20" s="1742"/>
      <c r="BA20" s="1467" t="s">
        <v>61</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468</v>
      </c>
      <c r="AH24" s="1514" t="s">
        <v>468</v>
      </c>
      <c r="AK24" s="1514" t="s">
        <v>505</v>
      </c>
      <c r="AL24" s="1514" t="s">
        <v>468</v>
      </c>
      <c r="AP24" s="1514" t="s">
        <v>468</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6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50"/>
      <c r="BI28" s="1162">
        <v>14</v>
      </c>
    </row>
    <row customHeight="1" ht="14.699999999999998">
      <c r="Q29" s="298"/>
      <c r="R29" s="383"/>
      <c r="S29" s="2269" t="str">
        <f>IF(org=0,"Не определено",org)</f>
        <v>ИМУП «ПОСЖИЛКОМСЕРВИС»</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0" t="s">
        <v>41</v>
      </c>
      <c r="T31" s="2270"/>
      <c r="U31" s="1379"/>
      <c r="V31" s="2271" t="str">
        <f>IF(TITLE_NAME_OR_PR_CHANGE="",IF(TITLE_NAME_OR_PR="","",TITLE_NAME_OR_PR),TITLE_NAME_OR_PR_CHANGE)</f>
        <v/>
      </c>
      <c r="W31" s="2271"/>
      <c r="X31" s="2271"/>
      <c r="Y31" s="2271"/>
      <c r="Z31" s="2271"/>
      <c r="AA31" s="2271"/>
      <c r="AB31" s="2271"/>
      <c r="AC31" s="333"/>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0" t="s">
        <v>422</v>
      </c>
      <c r="T32" s="2270"/>
      <c r="U32" s="1379"/>
      <c r="V32" s="2284" t="str">
        <f>IF(TITLE_DATE_PR_CHANGE="",IF(TITLE_DATE_PR="","",TITLE_DATE_PR),TITLE_DATE_PR_CHANGE)</f>
        <v/>
      </c>
      <c r="W32" s="2284"/>
      <c r="X32" s="2284"/>
      <c r="Y32" s="2284"/>
      <c r="Z32" s="2284"/>
      <c r="AA32" s="2284"/>
      <c r="AB32" s="2284"/>
      <c r="AC32" s="333"/>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0" t="s">
        <v>423</v>
      </c>
      <c r="T33" s="2270"/>
      <c r="U33" s="1379"/>
      <c r="V33" s="2271" t="str">
        <f>IF(TITLE_NUMBER_PR_CHANGE="",IF(TITLE_NUMBER_PR="","",TITLE_NUMBER_PR),TITLE_NUMBER_PR_CHANGE)</f>
        <v/>
      </c>
      <c r="W33" s="2271"/>
      <c r="X33" s="2271"/>
      <c r="Y33" s="2271"/>
      <c r="Z33" s="2271"/>
      <c r="AA33" s="2271"/>
      <c r="AB33" s="2271"/>
      <c r="AC33" s="333"/>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0" t="s">
        <v>42</v>
      </c>
      <c r="T34" s="2270"/>
      <c r="U34" s="1379"/>
      <c r="V34" s="2271" t="str">
        <f>IF(TITLE_IST_PUB_CHANGE="",IF(TITLE_IST_PUB="","",TITLE_IST_PUB),TITLE_IST_PUB_CHANGE)</f>
        <v/>
      </c>
      <c r="W34" s="2271"/>
      <c r="X34" s="2271"/>
      <c r="Y34" s="2271"/>
      <c r="Z34" s="2271"/>
      <c r="AA34" s="2271"/>
      <c r="AB34" s="2271"/>
      <c r="AC34" s="333"/>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0" t="s">
        <v>422</v>
      </c>
      <c r="T36" s="2270"/>
      <c r="U36" s="1379"/>
      <c r="V36" s="2284" t="str">
        <f>IF(TITLE_DATE_PR_CHANGE="",IF(TITLE_DATE_PR="","",TITLE_DATE_PR),TITLE_DATE_PR_CHANGE)</f>
        <v/>
      </c>
      <c r="W36" s="2284"/>
      <c r="X36" s="2284"/>
      <c r="Y36" s="2284"/>
      <c r="Z36" s="2284"/>
      <c r="AA36" s="2284"/>
      <c r="AB36" s="2284"/>
      <c r="AC36" s="333"/>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0" t="s">
        <v>423</v>
      </c>
      <c r="T37" s="2270"/>
      <c r="U37" s="1379"/>
      <c r="V37" s="2271" t="str">
        <f>IF(TITLE_NUMBER_PR_CHANGE="",IF(TITLE_NUMBER_PR="","",TITLE_NUMBER_PR),TITLE_NUMBER_PR_CHANGE)</f>
        <v/>
      </c>
      <c r="W37" s="2271"/>
      <c r="X37" s="2271"/>
      <c r="Y37" s="2271"/>
      <c r="Z37" s="2271"/>
      <c r="AA37" s="2271"/>
      <c r="AB37" s="2271"/>
      <c r="AC37" s="333"/>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426</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426</v>
      </c>
      <c r="BD38" s="375"/>
      <c r="BE38" s="375"/>
      <c r="BF38" s="375"/>
      <c r="BG38" s="375"/>
      <c r="BH38" s="375"/>
      <c r="BI38" s="425">
        <v>0</v>
      </c>
    </row>
    <row customHeight="1" ht="14.699999999999998">
      <c r="Q39" s="298"/>
      <c r="R39" s="383"/>
      <c r="S39" s="1282"/>
      <c r="T39" s="370"/>
      <c r="U39" s="1251"/>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62">
        <v>14</v>
      </c>
    </row>
    <row customHeight="1" ht="14.699999999999998">
      <c r="Q40" s="298"/>
      <c r="R40" s="383"/>
      <c r="S40" s="2147" t="s">
        <v>299</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300</v>
      </c>
      <c r="BI40" s="1162">
        <v>14</v>
      </c>
    </row>
    <row customHeight="1" ht="14.699999999999998">
      <c r="Q41" s="298"/>
      <c r="R41" s="383"/>
      <c r="S41" s="2293" t="s">
        <v>87</v>
      </c>
      <c r="T41" s="2229" t="s">
        <v>506</v>
      </c>
      <c r="U41" s="308"/>
      <c r="V41" s="2294" t="s">
        <v>428</v>
      </c>
      <c r="W41" s="2295"/>
      <c r="X41" s="2295"/>
      <c r="Y41" s="2295"/>
      <c r="Z41" s="2295"/>
      <c r="AA41" s="2295"/>
      <c r="AB41" s="2296"/>
      <c r="AC41" s="2297" t="s">
        <v>429</v>
      </c>
      <c r="AD41" s="2348" t="s">
        <v>507</v>
      </c>
      <c r="AE41" s="2311"/>
      <c r="AF41" s="2311"/>
      <c r="AG41" s="2349"/>
      <c r="AH41" s="2348" t="s">
        <v>508</v>
      </c>
      <c r="AI41" s="2311"/>
      <c r="AJ41" s="2311"/>
      <c r="AK41" s="2349"/>
      <c r="AL41" s="2348" t="s">
        <v>509</v>
      </c>
      <c r="AM41" s="2311"/>
      <c r="AN41" s="2311"/>
      <c r="AO41" s="2349"/>
      <c r="AP41" s="2348" t="s">
        <v>510</v>
      </c>
      <c r="AQ41" s="2311"/>
      <c r="AR41" s="2311"/>
      <c r="AS41" s="2349"/>
      <c r="AT41" s="2294" t="s">
        <v>428</v>
      </c>
      <c r="AU41" s="2295"/>
      <c r="AV41" s="2295"/>
      <c r="AW41" s="2295"/>
      <c r="AX41" s="2295"/>
      <c r="AY41" s="2295"/>
      <c r="AZ41" s="2296"/>
      <c r="BA41" s="2297" t="s">
        <v>429</v>
      </c>
      <c r="BB41" s="2300" t="s">
        <v>431</v>
      </c>
      <c r="BC41" s="2147"/>
      <c r="BI41" s="1162">
        <v>14</v>
      </c>
    </row>
    <row customHeight="1" ht="35.699999999999996">
      <c r="Q42" s="298"/>
      <c r="R42" s="383"/>
      <c r="S42" s="2293"/>
      <c r="T42" s="2229"/>
      <c r="U42" s="1038"/>
      <c r="V42" s="2212" t="s">
        <v>511</v>
      </c>
      <c r="W42" s="2213"/>
      <c r="X42" s="2212" t="s">
        <v>512</v>
      </c>
      <c r="Y42" s="2213"/>
      <c r="Z42" s="2314" t="s">
        <v>513</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511</v>
      </c>
      <c r="AU42" s="2213"/>
      <c r="AV42" s="2212" t="s">
        <v>512</v>
      </c>
      <c r="AW42" s="2213"/>
      <c r="AX42" s="2314" t="s">
        <v>513</v>
      </c>
      <c r="AY42" s="2333"/>
      <c r="AZ42" s="2334"/>
      <c r="BA42" s="2298"/>
      <c r="BB42" s="2301"/>
      <c r="BC42" s="2147"/>
      <c r="BI42" s="1162">
        <v>34</v>
      </c>
    </row>
    <row customHeight="1" ht="14.699999999999998">
      <c r="Q43" s="298"/>
      <c r="R43" s="383"/>
      <c r="S43" s="2293"/>
      <c r="T43" s="2229"/>
      <c r="U43" s="1038"/>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62">
        <v>14</v>
      </c>
    </row>
    <row customHeight="1" ht="14.699999999999998">
      <c r="A44" s="1377"/>
      <c r="B44" s="1377" t="s">
        <v>136</v>
      </c>
      <c r="C44" s="1377" t="s">
        <v>137</v>
      </c>
      <c r="D44" s="1377" t="s">
        <v>138</v>
      </c>
      <c r="E44" s="1371" t="s">
        <v>436</v>
      </c>
      <c r="F44" s="1371" t="s">
        <v>437</v>
      </c>
      <c r="G44" s="1371" t="s">
        <v>438</v>
      </c>
      <c r="H44" s="1371" t="s">
        <v>439</v>
      </c>
      <c r="I44" s="1371" t="s">
        <v>440</v>
      </c>
      <c r="J44" s="1371" t="s">
        <v>441</v>
      </c>
      <c r="K44" s="1371" t="s">
        <v>442</v>
      </c>
      <c r="L44" s="1371" t="s">
        <v>417</v>
      </c>
      <c r="Q44" s="298"/>
      <c r="R44" s="383"/>
      <c r="S44" s="2293"/>
      <c r="T44" s="2229"/>
      <c r="U44" s="309"/>
      <c r="V44" s="1455" t="s">
        <v>477</v>
      </c>
      <c r="W44" s="1455" t="s">
        <v>478</v>
      </c>
      <c r="X44" s="1455" t="s">
        <v>477</v>
      </c>
      <c r="Y44" s="1455" t="s">
        <v>478</v>
      </c>
      <c r="Z44" s="1462" t="s">
        <v>445</v>
      </c>
      <c r="AA44" s="2290" t="s">
        <v>446</v>
      </c>
      <c r="AB44" s="2291"/>
      <c r="AC44" s="2299"/>
      <c r="AD44" s="2353"/>
      <c r="AE44" s="2354"/>
      <c r="AF44" s="2354"/>
      <c r="AG44" s="2355"/>
      <c r="AH44" s="2353"/>
      <c r="AI44" s="2354"/>
      <c r="AJ44" s="2354"/>
      <c r="AK44" s="2355"/>
      <c r="AL44" s="2353"/>
      <c r="AM44" s="2354"/>
      <c r="AN44" s="2354"/>
      <c r="AO44" s="2355"/>
      <c r="AP44" s="2353"/>
      <c r="AQ44" s="2354"/>
      <c r="AR44" s="2354"/>
      <c r="AS44" s="2355"/>
      <c r="AT44" s="1455" t="s">
        <v>477</v>
      </c>
      <c r="AU44" s="1455" t="s">
        <v>478</v>
      </c>
      <c r="AV44" s="1455" t="s">
        <v>477</v>
      </c>
      <c r="AW44" s="1455" t="s">
        <v>478</v>
      </c>
      <c r="AX44" s="1462" t="s">
        <v>445</v>
      </c>
      <c r="AY44" s="2290" t="s">
        <v>446</v>
      </c>
      <c r="AZ44" s="2291"/>
      <c r="BA44" s="2299"/>
      <c r="BB44" s="2302"/>
      <c r="BC44" s="2147"/>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58">
        <f>OFFSET(V45,0,-1)+1</f>
        <v>3</v>
      </c>
      <c r="W45" s="1458">
        <f>OFFSET(W45,0,-1)+1</f>
        <v>4</v>
      </c>
      <c r="X45" s="1458">
        <f>OFFSET(X45,0,-1)+1</f>
        <v>5</v>
      </c>
      <c r="Y45" s="1458">
        <f>OFFSET(Y45,0,-1)+1</f>
        <v>6</v>
      </c>
      <c r="Z45" s="1458">
        <f>OFFSET(Z45,0,-1)+1</f>
        <v>7</v>
      </c>
      <c r="AA45" s="2292">
        <f>OFFSET(AA45,0,-1)+1</f>
        <v>8</v>
      </c>
      <c r="AB45" s="2292"/>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92">
        <f>OFFSET(AY45,0,-1)+1</f>
        <v>3</v>
      </c>
      <c r="AZ45" s="2292"/>
      <c r="BA45" s="1458">
        <f>OFFSET(BA45,0,-2)+1</f>
        <v>4</v>
      </c>
      <c r="BB45" s="1252">
        <f>OFFSET(BB45,0,-1)</f>
        <v>4</v>
      </c>
      <c r="BC45" s="1458">
        <f>OFFSET(BC45,0,-1)+1</f>
        <v>5</v>
      </c>
      <c r="BD45" s="518"/>
      <c r="BE45" s="518"/>
      <c r="BF45" s="518"/>
      <c r="BG45" s="518"/>
      <c r="BH45" s="518"/>
      <c r="BI45" s="503">
        <v>0</v>
      </c>
    </row>
    <row customHeight="1" ht="22.049999999999997">
      <c r="A46" s="1370" t="s">
        <v>245</v>
      </c>
      <c r="B46" s="1370"/>
      <c r="C46" s="1370"/>
      <c r="D46" s="1370"/>
      <c r="E46" s="2278">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124</v>
      </c>
      <c r="U46" s="307"/>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245</v>
      </c>
      <c r="B47" s="1370" t="s">
        <v>246</v>
      </c>
      <c r="C47" s="1370"/>
      <c r="D47" s="1370"/>
      <c r="E47" s="2279"/>
      <c r="F47" s="2278">
        <v>1</v>
      </c>
      <c r="G47" s="1370"/>
      <c r="H47" s="1370"/>
      <c r="I47" s="1370"/>
      <c r="J47" s="1370"/>
      <c r="K47" s="1370"/>
      <c r="L47" s="1371"/>
      <c r="M47" s="1372"/>
      <c r="N47" s="1372"/>
      <c r="O47" s="1372"/>
      <c r="P47" s="1417"/>
      <c r="Q47" s="1418"/>
      <c r="R47" s="360"/>
      <c r="S47" s="1464" t="str">
        <f>INDEX(PT_DIFFERENTIATION_NUM_TER,MATCH(B47,PT_DIFFERENTIATION_TER_ID,0))</f>
        <v>.</v>
      </c>
      <c r="T47" s="315" t="s">
        <v>396</v>
      </c>
      <c r="U47" s="307"/>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65" t="s">
        <v>397</v>
      </c>
      <c r="BE47" s="507"/>
      <c r="BF47" s="507" t="str">
        <f>IF(T47="","",T47)</f>
        <v>Территория действия тарифа</v>
      </c>
      <c r="BG47" s="507"/>
      <c r="BH47" s="507"/>
      <c r="BI47" s="1162">
        <v>21</v>
      </c>
    </row>
    <row customHeight="1" ht="43.050000000000004">
      <c r="A48" s="1370" t="s">
        <v>245</v>
      </c>
      <c r="B48" s="1370" t="s">
        <v>246</v>
      </c>
      <c r="C48" s="1370" t="s">
        <v>247</v>
      </c>
      <c r="D48" s="1370"/>
      <c r="E48" s="2279"/>
      <c r="F48" s="2279"/>
      <c r="G48" s="2278">
        <v>1</v>
      </c>
      <c r="H48" s="1370"/>
      <c r="I48" s="1370"/>
      <c r="J48" s="1370"/>
      <c r="K48" s="1370"/>
      <c r="L48" s="1371"/>
      <c r="M48" s="1372"/>
      <c r="N48" s="1372"/>
      <c r="O48" s="1372"/>
      <c r="P48" s="1419"/>
      <c r="Q48" s="1418"/>
      <c r="R48" s="360"/>
      <c r="S48" s="1464" t="str">
        <f>INDEX(PT_DIFFERENTIATION_NUM_CS,MATCH(C48,PT_DIFFERENTIATION_CS_ID,0))</f>
        <v>..</v>
      </c>
      <c r="T48" s="316" t="s">
        <v>480</v>
      </c>
      <c r="U48" s="307"/>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65" t="s">
        <v>481</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245</v>
      </c>
      <c r="B49" s="1350" t="s">
        <v>246</v>
      </c>
      <c r="C49" s="1350" t="s">
        <v>247</v>
      </c>
      <c r="D49" s="1350" t="s">
        <v>514</v>
      </c>
      <c r="E49" s="2279"/>
      <c r="F49" s="2279"/>
      <c r="G49" s="2279"/>
      <c r="H49" s="2278">
        <v>1</v>
      </c>
      <c r="I49" s="1350"/>
      <c r="J49" s="1350"/>
      <c r="K49" s="1350"/>
      <c r="L49" s="1353"/>
      <c r="M49" s="1322"/>
      <c r="N49" s="1322"/>
      <c r="O49" s="1322"/>
      <c r="P49" s="1504"/>
      <c r="Q49" s="1505"/>
      <c r="R49" s="364"/>
      <c r="S49" s="1049"/>
      <c r="T49" s="1506"/>
      <c r="U49" s="1391"/>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92" t="s">
        <v>401</v>
      </c>
      <c r="BE49" s="507"/>
      <c r="BF49" s="507" t="str">
        <f>IF(T49="","",T49)</f>
        <v/>
      </c>
      <c r="BG49" s="507"/>
      <c r="BH49" s="507"/>
      <c r="BI49" s="518">
        <v>0</v>
      </c>
    </row>
    <row s="1649" customFormat="1" customHeight="1" ht="0">
      <c r="A50" s="1350" t="s">
        <v>245</v>
      </c>
      <c r="B50" s="1350" t="s">
        <v>246</v>
      </c>
      <c r="C50" s="1350" t="s">
        <v>247</v>
      </c>
      <c r="D50" s="1350" t="s">
        <v>514</v>
      </c>
      <c r="E50" s="2279"/>
      <c r="F50" s="2279"/>
      <c r="G50" s="2279"/>
      <c r="H50" s="2279"/>
      <c r="I50" s="2276" t="str">
        <f>S49&amp;".1"</f>
        <v>.1</v>
      </c>
      <c r="J50" s="1350"/>
      <c r="K50" s="1350"/>
      <c r="L50" s="1353" t="s">
        <v>402</v>
      </c>
      <c r="M50" s="517"/>
      <c r="N50" s="517"/>
      <c r="O50" s="517"/>
      <c r="P50" s="2277">
        <v>1</v>
      </c>
      <c r="Q50" s="1469"/>
      <c r="R50" s="363"/>
      <c r="S50" s="1049"/>
      <c r="T50" s="1390"/>
      <c r="U50" s="1391"/>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92"/>
      <c r="BE50" s="507"/>
      <c r="BF50" s="507" t="str">
        <f>IF(T50="","",T50)</f>
        <v/>
      </c>
      <c r="BG50" s="507"/>
      <c r="BH50" s="507"/>
      <c r="BI50" s="518">
        <v>0</v>
      </c>
    </row>
    <row s="1649" customFormat="1" customHeight="1" ht="0">
      <c r="A51" s="1350" t="s">
        <v>245</v>
      </c>
      <c r="B51" s="1350" t="s">
        <v>246</v>
      </c>
      <c r="C51" s="1350" t="s">
        <v>247</v>
      </c>
      <c r="D51" s="1350" t="s">
        <v>514</v>
      </c>
      <c r="E51" s="2279"/>
      <c r="F51" s="2279"/>
      <c r="G51" s="2279"/>
      <c r="H51" s="2279"/>
      <c r="I51" s="2306"/>
      <c r="J51" s="2276" t="str">
        <f>S49&amp;".1"</f>
        <v>.1</v>
      </c>
      <c r="K51" s="1350"/>
      <c r="L51" s="1353"/>
      <c r="M51" s="517"/>
      <c r="N51" s="517"/>
      <c r="O51" s="517"/>
      <c r="P51" s="2277"/>
      <c r="Q51" s="2277">
        <v>1</v>
      </c>
      <c r="R51" s="364"/>
      <c r="S51" s="1049"/>
      <c r="T51" s="1406"/>
      <c r="U51" s="1391"/>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92"/>
      <c r="BE51" s="507"/>
      <c r="BF51" s="507" t="str">
        <f>IF(T51="","",T51)</f>
        <v/>
      </c>
      <c r="BG51" s="507"/>
      <c r="BH51" s="507"/>
      <c r="BI51" s="518">
        <v>0</v>
      </c>
    </row>
    <row customHeight="1" ht="11.549999999999999">
      <c r="A52" s="1370" t="s">
        <v>245</v>
      </c>
      <c r="B52" s="1370" t="s">
        <v>246</v>
      </c>
      <c r="C52" s="1370" t="s">
        <v>247</v>
      </c>
      <c r="D52" s="1370" t="s">
        <v>514</v>
      </c>
      <c r="E52" s="2279"/>
      <c r="F52" s="2279"/>
      <c r="G52" s="2279"/>
      <c r="H52" s="2279"/>
      <c r="I52" s="2306"/>
      <c r="J52" s="2306"/>
      <c r="K52" s="2276" t="str">
        <f>S48&amp;".1"</f>
        <v>...1</v>
      </c>
      <c r="L52" s="1371"/>
      <c r="P52" s="2277"/>
      <c r="Q52" s="2277"/>
      <c r="R52" s="364">
        <v>1</v>
      </c>
      <c r="S52" s="2361" t="str">
        <f>$K52</f>
        <v>...1</v>
      </c>
      <c r="T52" s="2380"/>
      <c r="U52" s="307"/>
      <c r="V52" s="758"/>
      <c r="W52" s="1264"/>
      <c r="X52" s="758"/>
      <c r="Y52" s="1264"/>
      <c r="Z52" s="1740"/>
      <c r="AA52" s="1466" t="s">
        <v>61</v>
      </c>
      <c r="AB52" s="1740"/>
      <c r="AC52" s="1466" t="s">
        <v>61</v>
      </c>
      <c r="AD52" s="2205" t="s">
        <v>61</v>
      </c>
      <c r="AE52" s="2346"/>
      <c r="AF52" s="2225">
        <v>1</v>
      </c>
      <c r="AG52" s="2383"/>
      <c r="AH52" s="2127" t="s">
        <v>61</v>
      </c>
      <c r="AI52" s="2346"/>
      <c r="AJ52" s="2225">
        <v>1</v>
      </c>
      <c r="AK52" s="2347" t="s">
        <v>22</v>
      </c>
      <c r="AL52" s="2127" t="s">
        <v>61</v>
      </c>
      <c r="AM52" s="2212"/>
      <c r="AN52" s="2225">
        <v>1</v>
      </c>
      <c r="AO52" s="2377"/>
      <c r="AP52" s="2378" t="s">
        <v>61</v>
      </c>
      <c r="AQ52" s="318"/>
      <c r="AR52" s="1470">
        <v>1</v>
      </c>
      <c r="AS52" s="1473" t="s">
        <v>22</v>
      </c>
      <c r="AT52" s="758"/>
      <c r="AU52" s="1264"/>
      <c r="AV52" s="758"/>
      <c r="AW52" s="1264"/>
      <c r="AX52" s="1740"/>
      <c r="AY52" s="1466" t="s">
        <v>61</v>
      </c>
      <c r="AZ52" s="1740"/>
      <c r="BA52" s="1466" t="s">
        <v>61</v>
      </c>
      <c r="BB52" s="1355"/>
      <c r="BC52" s="2273" t="s">
        <v>500</v>
      </c>
      <c r="BE52" s="507"/>
      <c r="BF52" s="507" t="str">
        <f>IF(T52="","",T52)</f>
        <v/>
      </c>
      <c r="BG52" s="507"/>
      <c r="BH52" s="507"/>
      <c r="BI52" s="1162">
        <v>11</v>
      </c>
    </row>
    <row customHeight="1" ht="11.549999999999999">
      <c r="A53" s="1370"/>
      <c r="B53" s="1370"/>
      <c r="C53" s="1370"/>
      <c r="D53" s="1370"/>
      <c r="E53" s="2279"/>
      <c r="F53" s="2279"/>
      <c r="G53" s="2279"/>
      <c r="H53" s="2279"/>
      <c r="I53" s="2306"/>
      <c r="J53" s="2306"/>
      <c r="K53" s="2276"/>
      <c r="L53" s="1371"/>
      <c r="P53" s="2277"/>
      <c r="Q53" s="2277"/>
      <c r="R53" s="364"/>
      <c r="S53" s="2362"/>
      <c r="T53" s="2381"/>
      <c r="U53" s="307"/>
      <c r="V53" s="1400"/>
      <c r="W53" s="1503"/>
      <c r="X53" s="1400"/>
      <c r="Y53" s="1503"/>
      <c r="Z53" s="1400"/>
      <c r="AA53" s="1400"/>
      <c r="AB53" s="1400"/>
      <c r="AC53" s="1400"/>
      <c r="AD53" s="2206"/>
      <c r="AE53" s="2346"/>
      <c r="AF53" s="2225"/>
      <c r="AG53" s="2383"/>
      <c r="AH53" s="2127"/>
      <c r="AI53" s="2346"/>
      <c r="AJ53" s="2225"/>
      <c r="AK53" s="2347"/>
      <c r="AL53" s="2127"/>
      <c r="AM53" s="2220"/>
      <c r="AN53" s="2225"/>
      <c r="AO53" s="2377"/>
      <c r="AP53" s="2379"/>
      <c r="AQ53" s="323"/>
      <c r="AR53" s="423"/>
      <c r="AS53" s="423" t="s">
        <v>501</v>
      </c>
      <c r="AT53" s="1400"/>
      <c r="AU53" s="1503"/>
      <c r="AV53" s="1400"/>
      <c r="AW53" s="1503"/>
      <c r="AX53" s="1400"/>
      <c r="AY53" s="1400"/>
      <c r="AZ53" s="1400"/>
      <c r="BA53" s="1400"/>
      <c r="BB53" s="1404"/>
      <c r="BC53" s="2274"/>
      <c r="BE53" s="507"/>
      <c r="BF53" s="507"/>
      <c r="BG53" s="507"/>
      <c r="BH53" s="507"/>
      <c r="BI53" s="1162">
        <v>11</v>
      </c>
    </row>
    <row customHeight="1" ht="11.549999999999999">
      <c r="A54" s="1370" t="s">
        <v>245</v>
      </c>
      <c r="B54" s="1370"/>
      <c r="C54" s="1370"/>
      <c r="D54" s="1370"/>
      <c r="E54" s="2279"/>
      <c r="F54" s="2279"/>
      <c r="G54" s="2279"/>
      <c r="H54" s="2279"/>
      <c r="I54" s="2306"/>
      <c r="J54" s="2306"/>
      <c r="K54" s="2276"/>
      <c r="L54" s="1371"/>
      <c r="P54" s="2277"/>
      <c r="Q54" s="2277"/>
      <c r="R54" s="364"/>
      <c r="S54" s="2362"/>
      <c r="T54" s="2381"/>
      <c r="U54" s="307"/>
      <c r="V54" s="1400"/>
      <c r="W54" s="1503"/>
      <c r="X54" s="1400"/>
      <c r="Y54" s="1503"/>
      <c r="Z54" s="1400"/>
      <c r="AA54" s="1400"/>
      <c r="AB54" s="1400"/>
      <c r="AC54" s="1400"/>
      <c r="AD54" s="2206"/>
      <c r="AE54" s="2346"/>
      <c r="AF54" s="2225"/>
      <c r="AG54" s="2383"/>
      <c r="AH54" s="2127"/>
      <c r="AI54" s="2346"/>
      <c r="AJ54" s="2225"/>
      <c r="AK54" s="2347"/>
      <c r="AL54" s="2127"/>
      <c r="AM54" s="323"/>
      <c r="AN54" s="1507"/>
      <c r="AO54" s="1507" t="s">
        <v>502</v>
      </c>
      <c r="AP54" s="423"/>
      <c r="AQ54" s="423"/>
      <c r="AR54" s="423"/>
      <c r="AS54" s="1400"/>
      <c r="AT54" s="1400"/>
      <c r="AU54" s="1503"/>
      <c r="AV54" s="1400"/>
      <c r="AW54" s="1503"/>
      <c r="AX54" s="1400"/>
      <c r="AY54" s="1400"/>
      <c r="AZ54" s="1400"/>
      <c r="BA54" s="1400"/>
      <c r="BB54" s="1404"/>
      <c r="BC54" s="2274"/>
      <c r="BE54" s="507"/>
      <c r="BF54" s="507"/>
      <c r="BG54" s="507"/>
      <c r="BH54" s="507"/>
      <c r="BI54" s="1162">
        <v>11</v>
      </c>
    </row>
    <row customHeight="1" ht="11.549999999999999">
      <c r="A55" s="1370" t="s">
        <v>245</v>
      </c>
      <c r="B55" s="1370"/>
      <c r="C55" s="1370"/>
      <c r="D55" s="1370"/>
      <c r="E55" s="2279"/>
      <c r="F55" s="2279"/>
      <c r="G55" s="2279"/>
      <c r="H55" s="2279"/>
      <c r="I55" s="2306"/>
      <c r="J55" s="2306"/>
      <c r="K55" s="2276"/>
      <c r="L55" s="1371"/>
      <c r="P55" s="2277"/>
      <c r="Q55" s="2277"/>
      <c r="R55" s="364"/>
      <c r="S55" s="2362"/>
      <c r="T55" s="2381"/>
      <c r="U55" s="307"/>
      <c r="V55" s="1400"/>
      <c r="W55" s="1503"/>
      <c r="X55" s="1400"/>
      <c r="Y55" s="1503"/>
      <c r="Z55" s="1400"/>
      <c r="AA55" s="1400"/>
      <c r="AB55" s="1400"/>
      <c r="AC55" s="1400"/>
      <c r="AD55" s="2206"/>
      <c r="AE55" s="2346"/>
      <c r="AF55" s="2225"/>
      <c r="AG55" s="2383"/>
      <c r="AH55" s="2127"/>
      <c r="AI55" s="301"/>
      <c r="AJ55" s="422"/>
      <c r="AK55" s="320" t="s">
        <v>503</v>
      </c>
      <c r="AL55" s="1400"/>
      <c r="AM55" s="1400"/>
      <c r="AN55" s="1400"/>
      <c r="AO55" s="1400"/>
      <c r="AP55" s="1400"/>
      <c r="AQ55" s="1400"/>
      <c r="AR55" s="1400"/>
      <c r="AS55" s="1400"/>
      <c r="AT55" s="1400"/>
      <c r="AU55" s="1503"/>
      <c r="AV55" s="1400"/>
      <c r="AW55" s="1503"/>
      <c r="AX55" s="1400"/>
      <c r="AY55" s="1400"/>
      <c r="AZ55" s="1400"/>
      <c r="BA55" s="1400"/>
      <c r="BB55" s="1404"/>
      <c r="BC55" s="2274"/>
      <c r="BE55" s="507"/>
      <c r="BF55" s="507"/>
      <c r="BG55" s="507"/>
      <c r="BH55" s="507"/>
      <c r="BI55" s="1162">
        <v>11</v>
      </c>
    </row>
    <row customHeight="1" ht="11.549999999999999">
      <c r="A56" s="1370" t="s">
        <v>245</v>
      </c>
      <c r="B56" s="1370" t="s">
        <v>246</v>
      </c>
      <c r="C56" s="1370" t="s">
        <v>247</v>
      </c>
      <c r="D56" s="1370" t="s">
        <v>514</v>
      </c>
      <c r="E56" s="2279"/>
      <c r="F56" s="2279"/>
      <c r="G56" s="2279"/>
      <c r="H56" s="2279"/>
      <c r="I56" s="2306"/>
      <c r="J56" s="2306"/>
      <c r="K56" s="2276"/>
      <c r="L56" s="1371"/>
      <c r="P56" s="2277"/>
      <c r="Q56" s="2277"/>
      <c r="R56" s="364"/>
      <c r="S56" s="2363"/>
      <c r="T56" s="2382"/>
      <c r="U56" s="307"/>
      <c r="V56" s="1400"/>
      <c r="W56" s="1401" t="str">
        <f>Z52&amp;"-"&amp;AB52</f>
        <v>-</v>
      </c>
      <c r="X56" s="1400"/>
      <c r="Y56" s="1401" t="str">
        <f>AB52&amp;"-"&amp;AD52</f>
        <v>-да</v>
      </c>
      <c r="Z56" s="1400"/>
      <c r="AA56" s="1400"/>
      <c r="AB56" s="1400"/>
      <c r="AC56" s="1400"/>
      <c r="AD56" s="2132"/>
      <c r="AE56" s="319"/>
      <c r="AF56" s="321"/>
      <c r="AG56" s="423" t="s">
        <v>504</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74"/>
      <c r="BE56" s="507"/>
      <c r="BF56" s="507" t="str">
        <f>IF(T56="","",T56)</f>
        <v/>
      </c>
      <c r="BG56" s="507"/>
      <c r="BH56" s="507"/>
      <c r="BI56" s="1162">
        <v>11</v>
      </c>
    </row>
    <row customHeight="1" ht="11.549999999999999">
      <c r="A57" s="1370" t="s">
        <v>245</v>
      </c>
      <c r="B57" s="1370" t="s">
        <v>246</v>
      </c>
      <c r="C57" s="1370" t="s">
        <v>247</v>
      </c>
      <c r="D57" s="1370" t="s">
        <v>514</v>
      </c>
      <c r="E57" s="2279"/>
      <c r="F57" s="2279"/>
      <c r="G57" s="2279"/>
      <c r="H57" s="2279"/>
      <c r="I57" s="2306"/>
      <c r="J57" s="2276"/>
      <c r="K57" s="1370"/>
      <c r="L57" s="1371"/>
      <c r="P57" s="2277"/>
      <c r="Q57" s="2277"/>
      <c r="R57" s="363"/>
      <c r="S57" s="1285"/>
      <c r="T57" s="294" t="s">
        <v>467</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75"/>
      <c r="BE57" s="507"/>
      <c r="BF57" s="507" t="str">
        <f>IF(T57="","",T57)</f>
        <v>Добавить строку</v>
      </c>
      <c r="BG57" s="507"/>
      <c r="BH57" s="507"/>
      <c r="BI57" s="1162">
        <v>11</v>
      </c>
    </row>
    <row s="1649" customFormat="1" customHeight="1" ht="0">
      <c r="A58" s="1350" t="s">
        <v>245</v>
      </c>
      <c r="B58" s="1350" t="s">
        <v>246</v>
      </c>
      <c r="C58" s="1350" t="s">
        <v>247</v>
      </c>
      <c r="D58" s="1350" t="s">
        <v>514</v>
      </c>
      <c r="E58" s="2279"/>
      <c r="F58" s="2279"/>
      <c r="G58" s="2279"/>
      <c r="H58" s="2279"/>
      <c r="I58" s="2276"/>
      <c r="J58" s="1350"/>
      <c r="K58" s="1350"/>
      <c r="L58" s="1353"/>
      <c r="M58" s="517"/>
      <c r="N58" s="517"/>
      <c r="O58" s="517"/>
      <c r="P58" s="2277"/>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245</v>
      </c>
      <c r="B59" s="1350" t="s">
        <v>246</v>
      </c>
      <c r="C59" s="1350" t="s">
        <v>247</v>
      </c>
      <c r="D59" s="1350" t="s">
        <v>514</v>
      </c>
      <c r="E59" s="2279"/>
      <c r="F59" s="2279"/>
      <c r="G59" s="2279"/>
      <c r="H59" s="2278"/>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245</v>
      </c>
      <c r="B60" s="1350" t="s">
        <v>246</v>
      </c>
      <c r="C60" s="1350" t="s">
        <v>247</v>
      </c>
      <c r="D60" s="1321"/>
      <c r="E60" s="2279"/>
      <c r="F60" s="2279"/>
      <c r="G60" s="2278"/>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245</v>
      </c>
      <c r="B61" s="1350" t="s">
        <v>246</v>
      </c>
      <c r="C61" s="1321"/>
      <c r="D61" s="1321"/>
      <c r="E61" s="2279"/>
      <c r="F61" s="2278"/>
      <c r="G61" s="1321"/>
      <c r="H61" s="1321"/>
      <c r="I61" s="1321"/>
      <c r="J61" s="1321"/>
      <c r="K61" s="1321"/>
      <c r="L61" s="147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245</v>
      </c>
      <c r="B62" s="1350"/>
      <c r="C62" s="1350"/>
      <c r="D62" s="1350"/>
      <c r="E62" s="2278"/>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447</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62">
        <v>19</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A2DF7-539E-6612-C74A-0.433070D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78">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2"/>
      <c r="W2" s="2263"/>
      <c r="X2" s="2263"/>
      <c r="Y2" s="2263"/>
      <c r="Z2" s="2263"/>
      <c r="AA2" s="2263"/>
      <c r="AB2" s="2264"/>
      <c r="AC2" s="2262">
        <f>INDEX(PT_DIFFERENTIATION_NTAR,MATCH(A2,PT_DIFFERENTIATION_NTAR_ID,0))</f>
      </c>
      <c r="AD2" s="2263"/>
      <c r="AE2" s="2263"/>
      <c r="AF2" s="2263"/>
      <c r="AG2" s="2263"/>
      <c r="AH2" s="2263"/>
      <c r="AI2" s="2263"/>
      <c r="AJ2" s="2264"/>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79"/>
      <c r="F3" s="2278">
        <v>1</v>
      </c>
      <c r="G3" s="1370"/>
      <c r="H3" s="1370"/>
      <c r="I3" s="1370"/>
      <c r="J3" s="1370"/>
      <c r="K3" s="1370"/>
      <c r="L3" s="1371"/>
      <c r="M3" s="1372"/>
      <c r="N3" s="1372"/>
      <c r="O3" s="1372"/>
      <c r="P3" s="1494"/>
      <c r="Q3" s="359"/>
      <c r="R3" s="360"/>
      <c r="S3" s="1500">
        <f>INDEX(PT_DIFFERENTIATION_NUM_TER,MATCH(B3,PT_DIFFERENTIATION_TER_ID,0))</f>
      </c>
      <c r="T3" s="315" t="s">
        <v>396</v>
      </c>
      <c r="U3" s="307"/>
      <c r="V3" s="2262"/>
      <c r="W3" s="2263"/>
      <c r="X3" s="2263"/>
      <c r="Y3" s="2263"/>
      <c r="Z3" s="2263"/>
      <c r="AA3" s="2263"/>
      <c r="AB3" s="2264"/>
      <c r="AC3" s="2262">
        <f>INDEX(PT_DIFFERENTIATION_TER,MATCH(B3,PT_DIFFERENTIATION_TER_ID,0))</f>
      </c>
      <c r="AD3" s="2263"/>
      <c r="AE3" s="2263"/>
      <c r="AF3" s="2263"/>
      <c r="AG3" s="2263"/>
      <c r="AH3" s="2263"/>
      <c r="AI3" s="2263"/>
      <c r="AJ3" s="2264"/>
      <c r="AK3" s="1265" t="s">
        <v>397</v>
      </c>
      <c r="AM3" s="507"/>
      <c r="AN3" s="507" t="str">
        <f>IF(T3="","",T3)</f>
        <v>Территория действия тарифа</v>
      </c>
      <c r="AO3" s="507"/>
      <c r="AP3" s="507"/>
      <c r="AQ3" s="1162">
        <v>0</v>
      </c>
    </row>
    <row customHeight="1" ht="23.25" hidden="1">
      <c r="A4" s="1370"/>
      <c r="B4" s="1370"/>
      <c r="C4" s="1370"/>
      <c r="D4" s="1370"/>
      <c r="E4" s="2279"/>
      <c r="F4" s="2279"/>
      <c r="G4" s="2278">
        <v>1</v>
      </c>
      <c r="H4" s="1370"/>
      <c r="I4" s="1370"/>
      <c r="J4" s="1370"/>
      <c r="K4" s="1370"/>
      <c r="L4" s="1371"/>
      <c r="M4" s="1372"/>
      <c r="N4" s="1372"/>
      <c r="O4" s="1372"/>
      <c r="P4" s="361"/>
      <c r="Q4" s="359"/>
      <c r="R4" s="360"/>
      <c r="S4" s="1500">
        <f>INDEX(PT_DIFFERENTIATION_NUM_CS,MATCH(C4,PT_DIFFERENTIATION_CS_ID,0))</f>
      </c>
      <c r="T4" s="316" t="s">
        <v>515</v>
      </c>
      <c r="U4" s="307"/>
      <c r="V4" s="2262"/>
      <c r="W4" s="2263"/>
      <c r="X4" s="2263"/>
      <c r="Y4" s="2263"/>
      <c r="Z4" s="2263"/>
      <c r="AA4" s="2263"/>
      <c r="AB4" s="2264"/>
      <c r="AC4" s="2262">
        <f>INDEX(PT_DIFFERENTIATION_CS,MATCH(C4,PT_DIFFERENTIATION_CS_ID,0))</f>
      </c>
      <c r="AD4" s="2263"/>
      <c r="AE4" s="2263"/>
      <c r="AF4" s="2263"/>
      <c r="AG4" s="2263"/>
      <c r="AH4" s="2263"/>
      <c r="AI4" s="2263"/>
      <c r="AJ4" s="2264"/>
      <c r="AK4" s="1265" t="s">
        <v>516</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79"/>
      <c r="F5" s="2279"/>
      <c r="G5" s="2279"/>
      <c r="H5" s="2279"/>
      <c r="I5" s="2276">
        <f>S4&amp;".1"</f>
      </c>
      <c r="J5" s="1370"/>
      <c r="K5" s="1370"/>
      <c r="L5" s="1371"/>
      <c r="P5" s="2277">
        <v>1</v>
      </c>
      <c r="Q5" s="1488"/>
      <c r="R5" s="363"/>
      <c r="S5" s="1500">
        <f>$I5</f>
      </c>
      <c r="T5" s="292" t="s">
        <v>482</v>
      </c>
      <c r="U5" s="307"/>
      <c r="V5" s="2370"/>
      <c r="W5" s="2371"/>
      <c r="X5" s="2371"/>
      <c r="Y5" s="2371"/>
      <c r="Z5" s="2371"/>
      <c r="AA5" s="2371"/>
      <c r="AB5" s="2372"/>
      <c r="AC5" s="2373"/>
      <c r="AD5" s="2374"/>
      <c r="AE5" s="2374"/>
      <c r="AF5" s="2374"/>
      <c r="AG5" s="2374"/>
      <c r="AH5" s="2374"/>
      <c r="AI5" s="2374"/>
      <c r="AJ5" s="2375"/>
      <c r="AK5" s="1265" t="s">
        <v>483</v>
      </c>
      <c r="AM5" s="507"/>
      <c r="AN5" s="507" t="str">
        <f>IF(T5="","",T5)</f>
        <v>Наименование признака дифференциации</v>
      </c>
      <c r="AO5" s="507"/>
      <c r="AP5" s="507"/>
      <c r="AQ5" s="1162">
        <v>0</v>
      </c>
    </row>
    <row customHeight="1" ht="23.25" hidden="1">
      <c r="A6" s="1370"/>
      <c r="B6" s="1370"/>
      <c r="C6" s="1370"/>
      <c r="D6" s="1370"/>
      <c r="E6" s="2279"/>
      <c r="F6" s="2279"/>
      <c r="G6" s="2279"/>
      <c r="H6" s="2279"/>
      <c r="I6" s="2306"/>
      <c r="J6" s="2276">
        <f>I5&amp;".1"</f>
      </c>
      <c r="K6" s="1370"/>
      <c r="L6" s="1371" t="s">
        <v>405</v>
      </c>
      <c r="P6" s="2277"/>
      <c r="Q6" s="2277">
        <v>1</v>
      </c>
      <c r="R6" s="364"/>
      <c r="S6" s="1500">
        <f>$J6</f>
      </c>
      <c r="T6" s="293" t="s">
        <v>406</v>
      </c>
      <c r="U6" s="307"/>
      <c r="V6" s="2265"/>
      <c r="W6" s="2266"/>
      <c r="X6" s="2266"/>
      <c r="Y6" s="2266"/>
      <c r="Z6" s="2266"/>
      <c r="AA6" s="2266"/>
      <c r="AB6" s="2267"/>
      <c r="AC6" s="2265"/>
      <c r="AD6" s="2266"/>
      <c r="AE6" s="2266"/>
      <c r="AF6" s="2266"/>
      <c r="AG6" s="2266"/>
      <c r="AH6" s="2266"/>
      <c r="AI6" s="2266"/>
      <c r="AJ6" s="2267"/>
      <c r="AK6" s="1314" t="s">
        <v>484</v>
      </c>
      <c r="AM6" s="507"/>
      <c r="AN6" s="507" t="str">
        <f>IF(T6="","",T6)</f>
        <v>Группа потребителей</v>
      </c>
      <c r="AO6" s="507"/>
      <c r="AP6" s="507"/>
      <c r="AQ6" s="1162">
        <v>0</v>
      </c>
    </row>
    <row customHeight="1" ht="23.25" hidden="1">
      <c r="A7" s="1370"/>
      <c r="B7" s="1370"/>
      <c r="C7" s="1370"/>
      <c r="D7" s="1370"/>
      <c r="E7" s="2279"/>
      <c r="F7" s="2279"/>
      <c r="G7" s="2279"/>
      <c r="H7" s="2279"/>
      <c r="I7" s="2306"/>
      <c r="J7" s="2306"/>
      <c r="K7" s="2276">
        <f>J6&amp;".1"</f>
      </c>
      <c r="L7" s="1371"/>
      <c r="P7" s="2277"/>
      <c r="Q7" s="2277"/>
      <c r="R7" s="364">
        <v>1</v>
      </c>
      <c r="S7" s="1500">
        <f>$K7</f>
      </c>
      <c r="T7" s="1444"/>
      <c r="U7" s="307"/>
      <c r="V7" s="758"/>
      <c r="W7" s="758"/>
      <c r="X7" s="1264"/>
      <c r="Y7" s="2285"/>
      <c r="Z7" s="2127" t="s">
        <v>61</v>
      </c>
      <c r="AA7" s="2285"/>
      <c r="AB7" s="2127" t="s">
        <v>61</v>
      </c>
      <c r="AC7" s="758"/>
      <c r="AD7" s="758"/>
      <c r="AE7" s="1264"/>
      <c r="AF7" s="2285"/>
      <c r="AG7" s="2127" t="s">
        <v>61</v>
      </c>
      <c r="AH7" s="2307"/>
      <c r="AI7" s="2127" t="s">
        <v>61</v>
      </c>
      <c r="AJ7" s="1445"/>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79"/>
      <c r="F8" s="2279"/>
      <c r="G8" s="2279"/>
      <c r="H8" s="2279"/>
      <c r="I8" s="2306"/>
      <c r="J8" s="2306"/>
      <c r="K8" s="2276"/>
      <c r="L8" s="1371"/>
      <c r="P8" s="2277"/>
      <c r="Q8" s="2277"/>
      <c r="R8" s="364"/>
      <c r="S8" s="1497"/>
      <c r="T8" s="307"/>
      <c r="U8" s="307"/>
      <c r="V8" s="332"/>
      <c r="W8" s="332"/>
      <c r="X8" s="335" t="str">
        <f>Y7&amp;"-"&amp;AA7</f>
        <v>-</v>
      </c>
      <c r="Y8" s="2286"/>
      <c r="Z8" s="2127"/>
      <c r="AA8" s="2286"/>
      <c r="AB8" s="2127"/>
      <c r="AC8" s="332"/>
      <c r="AD8" s="332"/>
      <c r="AE8" s="335" t="str">
        <f>AF7&amp;"-"&amp;AH7</f>
        <v>-</v>
      </c>
      <c r="AF8" s="2286"/>
      <c r="AG8" s="2127"/>
      <c r="AH8" s="2308"/>
      <c r="AI8" s="2127"/>
      <c r="AJ8" s="1446"/>
      <c r="AK8" s="2369"/>
      <c r="AM8" s="507"/>
      <c r="AN8" s="507" t="str">
        <f>IF(T8="","",T8)</f>
        <v/>
      </c>
      <c r="AO8" s="507"/>
      <c r="AP8" s="507"/>
      <c r="AQ8" s="1162">
        <v>0</v>
      </c>
    </row>
    <row customHeight="1" ht="21" hidden="1">
      <c r="A9" s="1370"/>
      <c r="B9" s="1370"/>
      <c r="C9" s="1370"/>
      <c r="D9" s="1370"/>
      <c r="E9" s="2279"/>
      <c r="F9" s="2279"/>
      <c r="G9" s="2279"/>
      <c r="H9" s="2279"/>
      <c r="I9" s="2306"/>
      <c r="J9" s="2276"/>
      <c r="K9" s="1370"/>
      <c r="L9" s="1371"/>
      <c r="P9" s="2277"/>
      <c r="Q9" s="2277"/>
      <c r="R9" s="363"/>
      <c r="S9" s="1285"/>
      <c r="T9" s="294" t="s">
        <v>485</v>
      </c>
      <c r="U9" s="374"/>
      <c r="V9" s="374"/>
      <c r="W9" s="374"/>
      <c r="X9" s="374"/>
      <c r="Y9" s="374"/>
      <c r="Z9" s="374"/>
      <c r="AA9" s="374"/>
      <c r="AB9" s="374"/>
      <c r="AC9" s="374"/>
      <c r="AD9" s="374"/>
      <c r="AE9" s="374"/>
      <c r="AF9" s="374"/>
      <c r="AG9" s="374"/>
      <c r="AH9" s="374"/>
      <c r="AI9" s="374"/>
      <c r="AJ9" s="374"/>
      <c r="AK9" s="1265" t="s">
        <v>486</v>
      </c>
      <c r="AM9" s="507"/>
      <c r="AN9" s="507" t="str">
        <f>IF(T9="","",T9)</f>
        <v>Добавить значение признака дифференциации</v>
      </c>
      <c r="AO9" s="507"/>
      <c r="AP9" s="507"/>
      <c r="AQ9" s="1162">
        <v>0</v>
      </c>
    </row>
    <row customHeight="1" ht="21" hidden="1">
      <c r="A10" s="1370"/>
      <c r="B10" s="1370"/>
      <c r="C10" s="1370"/>
      <c r="D10" s="1370"/>
      <c r="E10" s="2279"/>
      <c r="F10" s="2279"/>
      <c r="G10" s="2279"/>
      <c r="H10" s="2279"/>
      <c r="I10" s="2276"/>
      <c r="J10" s="1370"/>
      <c r="K10" s="1370"/>
      <c r="L10" s="1371"/>
      <c r="P10" s="2277"/>
      <c r="Q10" s="1488"/>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79"/>
      <c r="F11" s="2279"/>
      <c r="G11" s="2279"/>
      <c r="H11" s="2278"/>
      <c r="I11" s="1370"/>
      <c r="J11" s="1370"/>
      <c r="K11" s="1370"/>
      <c r="L11" s="1371"/>
      <c r="M11" s="1372"/>
      <c r="N11" s="1372"/>
      <c r="O11" s="544"/>
      <c r="P11" s="367"/>
      <c r="Q11" s="382"/>
      <c r="R11" s="362"/>
      <c r="S11" s="1285"/>
      <c r="T11" s="379" t="s">
        <v>487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79"/>
      <c r="F12" s="2278"/>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78"/>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87"/>
      <c r="AG15" s="2288" t="s">
        <v>61</v>
      </c>
      <c r="AH15" s="2287"/>
      <c r="AI15" s="2288" t="s">
        <v>61</v>
      </c>
      <c r="AQ15" s="1162">
        <v>0</v>
      </c>
    </row>
    <row customHeight="1" ht="14.25" hidden="1">
      <c r="AC16" s="1367"/>
      <c r="AD16" s="1367"/>
      <c r="AE16" s="335" t="str">
        <f>AF15&amp;"-"&amp;AH15</f>
        <v>-</v>
      </c>
      <c r="AF16" s="2288"/>
      <c r="AG16" s="2288"/>
      <c r="AH16" s="2288"/>
      <c r="AI16" s="2288"/>
      <c r="AQ16" s="1162">
        <v>0</v>
      </c>
    </row>
    <row customHeight="1" ht="14.25" hidden="1">
      <c r="AI17" s="334"/>
      <c r="AQ17" s="1162">
        <v>0</v>
      </c>
    </row>
    <row s="1373" customFormat="1" customHeight="1" ht="22.5" hidden="1">
      <c r="L18" s="1485"/>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50"/>
      <c r="AQ24" s="1162">
        <v>14</v>
      </c>
    </row>
    <row customHeight="1" ht="14.699999999999998">
      <c r="Q25" s="383"/>
      <c r="R25" s="383"/>
      <c r="S25" s="2269" t="str">
        <f>IF(org=0,"Не определено",org)</f>
        <v>ИМУП «ПОСЖИЛКОМСЕРВИС»</v>
      </c>
      <c r="T25" s="2269"/>
      <c r="U25" s="2269"/>
      <c r="V25" s="2269"/>
      <c r="W25" s="2269"/>
      <c r="X25" s="2269"/>
      <c r="Y25" s="2269"/>
      <c r="Z25" s="2269"/>
      <c r="AA25" s="2269"/>
      <c r="AB25" s="2269"/>
      <c r="AC25" s="2269"/>
      <c r="AD25" s="2269"/>
      <c r="AE25" s="2269"/>
      <c r="AF25" s="2269"/>
      <c r="AG25" s="2269"/>
      <c r="AH25" s="2269"/>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0" t="s">
        <v>41</v>
      </c>
      <c r="T27" s="2270"/>
      <c r="U27" s="1379"/>
      <c r="V27" s="2271" t="str">
        <f>IF(TITLE_NAME_OR_PR_CHANGE="",IF(TITLE_NAME_OR_PR="","",TITLE_NAME_OR_PR),TITLE_NAME_OR_PR_CHANGE)</f>
        <v/>
      </c>
      <c r="W27" s="2271"/>
      <c r="X27" s="2271"/>
      <c r="Y27" s="2271"/>
      <c r="Z27" s="2271"/>
      <c r="AA27" s="2271"/>
      <c r="AB27" s="333"/>
      <c r="AC27" s="2271" t="str">
        <f>IF(TITLE_NAME_OR_PR_CHANGE="",IF(TITLE_NAME_OR_PR="","",TITLE_NAME_OR_PR),TITLE_NAME_OR_PR_CHANGE)</f>
        <v/>
      </c>
      <c r="AD27" s="2271"/>
      <c r="AE27" s="2271"/>
      <c r="AF27" s="2271"/>
      <c r="AG27" s="2271"/>
      <c r="AH27" s="2271"/>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0" t="s">
        <v>422</v>
      </c>
      <c r="T28" s="2270"/>
      <c r="U28" s="1379"/>
      <c r="V28" s="2284" t="str">
        <f>IF(TITLE_DATE_PR_CHANGE="",IF(TITLE_DATE_PR="","",TITLE_DATE_PR),TITLE_DATE_PR_CHANGE)</f>
        <v/>
      </c>
      <c r="W28" s="2284"/>
      <c r="X28" s="2284"/>
      <c r="Y28" s="2284"/>
      <c r="Z28" s="2284"/>
      <c r="AA28" s="2284"/>
      <c r="AB28" s="333"/>
      <c r="AC28" s="2284" t="str">
        <f>IF(TITLE_DATE_PR_CHANGE="",IF(TITLE_DATE_PR="","",TITLE_DATE_PR),TITLE_DATE_PR_CHANGE)</f>
        <v/>
      </c>
      <c r="AD28" s="2284"/>
      <c r="AE28" s="2284"/>
      <c r="AF28" s="2284"/>
      <c r="AG28" s="2284"/>
      <c r="AH28" s="2284"/>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0" t="s">
        <v>423</v>
      </c>
      <c r="T29" s="2270"/>
      <c r="U29" s="1379"/>
      <c r="V29" s="2271" t="str">
        <f>IF(TITLE_NUMBER_PR_CHANGE="",IF(TITLE_NUMBER_PR="","",TITLE_NUMBER_PR),TITLE_NUMBER_PR_CHANGE)</f>
        <v/>
      </c>
      <c r="W29" s="2271"/>
      <c r="X29" s="2271"/>
      <c r="Y29" s="2271"/>
      <c r="Z29" s="2271"/>
      <c r="AA29" s="2271"/>
      <c r="AB29" s="333"/>
      <c r="AC29" s="2271" t="str">
        <f>IF(TITLE_NUMBER_PR_CHANGE="",IF(TITLE_NUMBER_PR="","",TITLE_NUMBER_PR),TITLE_NUMBER_PR_CHANGE)</f>
        <v/>
      </c>
      <c r="AD29" s="2271"/>
      <c r="AE29" s="2271"/>
      <c r="AF29" s="2271"/>
      <c r="AG29" s="2271"/>
      <c r="AH29" s="2271"/>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v>
      </c>
      <c r="T30" s="2270"/>
      <c r="U30" s="1379"/>
      <c r="V30" s="2271" t="str">
        <f>IF(TITLE_IST_PUB_CHANGE="",IF(TITLE_IST_PUB="","",TITLE_IST_PUB),TITLE_IST_PUB_CHANGE)</f>
        <v/>
      </c>
      <c r="W30" s="2271"/>
      <c r="X30" s="2271"/>
      <c r="Y30" s="2271"/>
      <c r="Z30" s="2271"/>
      <c r="AA30" s="2271"/>
      <c r="AB30" s="333"/>
      <c r="AC30" s="2271" t="str">
        <f>IF(TITLE_IST_PUB_CHANGE="",IF(TITLE_IST_PUB="","",TITLE_IST_PUB),TITLE_IST_PUB_CHANGE)</f>
        <v/>
      </c>
      <c r="AD30" s="2271"/>
      <c r="AE30" s="2271"/>
      <c r="AF30" s="2271"/>
      <c r="AG30" s="2271"/>
      <c r="AH30" s="2271"/>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0" t="s">
        <v>424</v>
      </c>
      <c r="T32" s="2270"/>
      <c r="U32" s="1379"/>
      <c r="V32" s="2284" t="str">
        <f>IF(TITLE_DATE_PR_CHANGE="",IF(TITLE_DATE_PR="","",TITLE_DATE_PR),TITLE_DATE_PR_CHANGE)</f>
        <v/>
      </c>
      <c r="W32" s="2284"/>
      <c r="X32" s="2284"/>
      <c r="Y32" s="2284"/>
      <c r="Z32" s="2284"/>
      <c r="AA32" s="2284"/>
      <c r="AB32" s="333"/>
      <c r="AC32" s="2284" t="str">
        <f>IF(TITLE_DATE_PR_CHANGE="",IF(TITLE_DATE_PR="","",TITLE_DATE_PR),TITLE_DATE_PR_CHANGE)</f>
        <v/>
      </c>
      <c r="AD32" s="2284"/>
      <c r="AE32" s="2284"/>
      <c r="AF32" s="2284"/>
      <c r="AG32" s="2284"/>
      <c r="AH32" s="2284"/>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0" t="s">
        <v>425</v>
      </c>
      <c r="T33" s="2270"/>
      <c r="U33" s="1379"/>
      <c r="V33" s="2271" t="str">
        <f>IF(TITLE_NUMBER_PR_CHANGE="",IF(TITLE_NUMBER_PR="","",TITLE_NUMBER_PR),TITLE_NUMBER_PR_CHANGE)</f>
        <v/>
      </c>
      <c r="W33" s="2271"/>
      <c r="X33" s="2271"/>
      <c r="Y33" s="2271"/>
      <c r="Z33" s="2271"/>
      <c r="AA33" s="2271"/>
      <c r="AB33" s="333"/>
      <c r="AC33" s="2271" t="str">
        <f>IF(TITLE_NUMBER_PR_CHANGE="",IF(TITLE_NUMBER_PR="","",TITLE_NUMBER_PR),TITLE_NUMBER_PR_CHANGE)</f>
        <v/>
      </c>
      <c r="AD33" s="2271"/>
      <c r="AE33" s="2271"/>
      <c r="AF33" s="2271"/>
      <c r="AG33" s="2271"/>
      <c r="AH33" s="2271"/>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426</v>
      </c>
      <c r="AC34" s="333"/>
      <c r="AD34" s="333"/>
      <c r="AE34" s="333"/>
      <c r="AF34" s="333"/>
      <c r="AG34" s="333"/>
      <c r="AH34" s="333"/>
      <c r="AI34" s="285" t="s">
        <v>426</v>
      </c>
      <c r="AL34" s="375"/>
      <c r="AM34" s="375"/>
      <c r="AN34" s="375"/>
      <c r="AO34" s="375"/>
      <c r="AP34" s="375"/>
      <c r="AQ34" s="425">
        <v>1</v>
      </c>
    </row>
    <row customHeight="1" ht="14.699999999999998">
      <c r="Q35" s="383"/>
      <c r="R35" s="383"/>
      <c r="S35" s="1282"/>
      <c r="T35" s="370"/>
      <c r="U35" s="1251"/>
      <c r="V35" s="2272"/>
      <c r="W35" s="2272"/>
      <c r="X35" s="2272"/>
      <c r="Y35" s="2272"/>
      <c r="Z35" s="2272"/>
      <c r="AA35" s="2272"/>
      <c r="AB35" s="2272"/>
      <c r="AC35" s="2272"/>
      <c r="AD35" s="2272"/>
      <c r="AE35" s="2272"/>
      <c r="AF35" s="2272"/>
      <c r="AG35" s="2272"/>
      <c r="AH35" s="2272"/>
      <c r="AI35" s="2272"/>
      <c r="AQ35" s="1162">
        <v>14</v>
      </c>
    </row>
    <row customHeight="1" ht="14.699999999999998">
      <c r="Q36" s="383"/>
      <c r="R36" s="383"/>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62">
        <v>14</v>
      </c>
    </row>
    <row customHeight="1" ht="14.699999999999998">
      <c r="Q37" s="383"/>
      <c r="R37" s="383"/>
      <c r="S37" s="2293" t="s">
        <v>87</v>
      </c>
      <c r="T37" s="2229" t="s">
        <v>427</v>
      </c>
      <c r="U37" s="308"/>
      <c r="V37" s="2294" t="s">
        <v>428</v>
      </c>
      <c r="W37" s="2295"/>
      <c r="X37" s="2295"/>
      <c r="Y37" s="2295"/>
      <c r="Z37" s="2295"/>
      <c r="AA37" s="2296"/>
      <c r="AB37" s="2297" t="s">
        <v>429</v>
      </c>
      <c r="AC37" s="2294" t="s">
        <v>428</v>
      </c>
      <c r="AD37" s="2295"/>
      <c r="AE37" s="2295"/>
      <c r="AF37" s="2295"/>
      <c r="AG37" s="2295"/>
      <c r="AH37" s="2296"/>
      <c r="AI37" s="2297" t="s">
        <v>430</v>
      </c>
      <c r="AJ37" s="2300" t="s">
        <v>431</v>
      </c>
      <c r="AK37" s="2147"/>
      <c r="AQ37" s="1162">
        <v>14</v>
      </c>
    </row>
    <row customHeight="1" ht="35.699999999999996">
      <c r="Q38" s="383"/>
      <c r="R38" s="383"/>
      <c r="S38" s="2293"/>
      <c r="T38" s="2229"/>
      <c r="U38" s="1038"/>
      <c r="V38" s="1490" t="s">
        <v>488</v>
      </c>
      <c r="W38" s="2282" t="s">
        <v>434</v>
      </c>
      <c r="X38" s="2283"/>
      <c r="Y38" s="2282" t="s">
        <v>435</v>
      </c>
      <c r="Z38" s="2289"/>
      <c r="AA38" s="2283"/>
      <c r="AB38" s="2298"/>
      <c r="AC38" s="1490" t="s">
        <v>488</v>
      </c>
      <c r="AD38" s="2282" t="s">
        <v>434</v>
      </c>
      <c r="AE38" s="2283"/>
      <c r="AF38" s="2282" t="s">
        <v>435</v>
      </c>
      <c r="AG38" s="2289"/>
      <c r="AH38" s="2283"/>
      <c r="AI38" s="2298"/>
      <c r="AJ38" s="2301"/>
      <c r="AK38" s="2147"/>
      <c r="AQ38" s="1162">
        <v>34</v>
      </c>
    </row>
    <row customHeight="1" ht="90.3">
      <c r="A39" s="1377"/>
      <c r="B39" s="1377" t="s">
        <v>136</v>
      </c>
      <c r="C39" s="1377" t="s">
        <v>137</v>
      </c>
      <c r="D39" s="1377" t="s">
        <v>138</v>
      </c>
      <c r="E39" s="1371" t="s">
        <v>436</v>
      </c>
      <c r="F39" s="1371" t="s">
        <v>437</v>
      </c>
      <c r="G39" s="1371" t="s">
        <v>438</v>
      </c>
      <c r="H39" s="1371"/>
      <c r="I39" s="1371" t="s">
        <v>489</v>
      </c>
      <c r="J39" s="1371" t="s">
        <v>441</v>
      </c>
      <c r="K39" s="1371" t="s">
        <v>490</v>
      </c>
      <c r="L39" s="1371" t="s">
        <v>417</v>
      </c>
      <c r="Q39" s="383"/>
      <c r="R39" s="383"/>
      <c r="S39" s="2293"/>
      <c r="T39" s="2229"/>
      <c r="U39" s="309"/>
      <c r="V39" s="1490" t="s">
        <v>517</v>
      </c>
      <c r="W39" s="1229" t="s">
        <v>518</v>
      </c>
      <c r="X39" s="1229" t="s">
        <v>493</v>
      </c>
      <c r="Y39" s="1496" t="s">
        <v>445</v>
      </c>
      <c r="Z39" s="2290" t="s">
        <v>446</v>
      </c>
      <c r="AA39" s="2291"/>
      <c r="AB39" s="2299"/>
      <c r="AC39" s="1490" t="s">
        <v>517</v>
      </c>
      <c r="AD39" s="1229" t="s">
        <v>518</v>
      </c>
      <c r="AE39" s="1229" t="s">
        <v>493</v>
      </c>
      <c r="AF39" s="1496" t="s">
        <v>445</v>
      </c>
      <c r="AG39" s="2290" t="s">
        <v>446</v>
      </c>
      <c r="AH39" s="2291"/>
      <c r="AI39" s="2299"/>
      <c r="AJ39" s="2302"/>
      <c r="AK39" s="2147"/>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89">
        <f>OFFSET(V40,0,-1)+1</f>
        <v>3</v>
      </c>
      <c r="W40" s="1489">
        <f>OFFSET(W40,0,-1)+1</f>
        <v>4</v>
      </c>
      <c r="X40" s="1489">
        <f>OFFSET(X40,0,-1)+1</f>
        <v>5</v>
      </c>
      <c r="Y40" s="1489">
        <f>OFFSET(Y40,0,-1)+1</f>
        <v>6</v>
      </c>
      <c r="Z40" s="2292">
        <f>OFFSET(Z40,0,-1)+1</f>
        <v>7</v>
      </c>
      <c r="AA40" s="2292"/>
      <c r="AB40" s="1489">
        <f>OFFSET(AB40,0,-2)+1</f>
        <v>8</v>
      </c>
      <c r="AC40" s="1489">
        <f>OFFSET(AC40,0,-1)+1</f>
        <v>9</v>
      </c>
      <c r="AD40" s="1489">
        <f>OFFSET(AD40,0,-1)+1</f>
        <v>10</v>
      </c>
      <c r="AE40" s="1489">
        <f>OFFSET(AE40,0,-1)+1</f>
        <v>11</v>
      </c>
      <c r="AF40" s="1489">
        <f>OFFSET(AF40,0,-1)+1</f>
        <v>12</v>
      </c>
      <c r="AG40" s="2292">
        <f>OFFSET(AG40,0,-1)+1</f>
        <v>13</v>
      </c>
      <c r="AH40" s="2292"/>
      <c r="AI40" s="1489">
        <f>OFFSET(AI40,0,-2)+1</f>
        <v>14</v>
      </c>
      <c r="AJ40" s="1252">
        <f>OFFSET(AJ40,0,-1)</f>
        <v>14</v>
      </c>
      <c r="AK40" s="1489">
        <f>OFFSET(AK40,0,-1)+1</f>
        <v>15</v>
      </c>
      <c r="AL40" s="518"/>
      <c r="AM40" s="518"/>
      <c r="AN40" s="518"/>
      <c r="AO40" s="518"/>
      <c r="AP40" s="518"/>
      <c r="AQ40" s="503">
        <v>0</v>
      </c>
    </row>
    <row customHeight="1" ht="24">
      <c r="A41" s="1370" t="s">
        <v>265</v>
      </c>
      <c r="B41" s="1370"/>
      <c r="C41" s="1370"/>
      <c r="D41" s="1370"/>
      <c r="E41" s="2278">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265</v>
      </c>
      <c r="B42" s="1370" t="s">
        <v>266</v>
      </c>
      <c r="C42" s="1370"/>
      <c r="D42" s="1370"/>
      <c r="E42" s="2279"/>
      <c r="F42" s="2278">
        <v>1</v>
      </c>
      <c r="G42" s="1370"/>
      <c r="H42" s="1370"/>
      <c r="I42" s="1370"/>
      <c r="J42" s="1370"/>
      <c r="K42" s="1370"/>
      <c r="L42" s="1371"/>
      <c r="M42" s="1372"/>
      <c r="N42" s="1372"/>
      <c r="O42" s="1372"/>
      <c r="P42" s="1494"/>
      <c r="Q42" s="359"/>
      <c r="R42" s="360"/>
      <c r="S42" s="1500" t="str">
        <f>INDEX(PT_DIFFERENTIATION_NUM_TER,MATCH(B42,PT_DIFFERENTIATION_TER_ID,0))</f>
        <v>.</v>
      </c>
      <c r="T42" s="315" t="s">
        <v>396</v>
      </c>
      <c r="U42" s="307"/>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65" t="s">
        <v>397</v>
      </c>
      <c r="AM42" s="507"/>
      <c r="AN42" s="507" t="str">
        <f>IF(T42="","",T42)</f>
        <v>Территория действия тарифа</v>
      </c>
      <c r="AO42" s="507"/>
      <c r="AP42" s="507"/>
      <c r="AQ42" s="1162">
        <v>23</v>
      </c>
    </row>
    <row customHeight="1" ht="24">
      <c r="A43" s="1370" t="s">
        <v>265</v>
      </c>
      <c r="B43" s="1370" t="s">
        <v>266</v>
      </c>
      <c r="C43" s="1370" t="s">
        <v>267</v>
      </c>
      <c r="D43" s="1370"/>
      <c r="E43" s="2279"/>
      <c r="F43" s="2279"/>
      <c r="G43" s="2278">
        <v>1</v>
      </c>
      <c r="H43" s="1370"/>
      <c r="I43" s="1370"/>
      <c r="J43" s="1370"/>
      <c r="K43" s="1370"/>
      <c r="L43" s="1371"/>
      <c r="M43" s="1372"/>
      <c r="N43" s="1372"/>
      <c r="O43" s="1372"/>
      <c r="P43" s="361"/>
      <c r="Q43" s="359"/>
      <c r="R43" s="360"/>
      <c r="S43" s="1500" t="str">
        <f>INDEX(PT_DIFFERENTIATION_NUM_CS,MATCH(C43,PT_DIFFERENTIATION_CS_ID,0))</f>
        <v>..</v>
      </c>
      <c r="T43" s="316" t="s">
        <v>515</v>
      </c>
      <c r="U43" s="307"/>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65" t="s">
        <v>516</v>
      </c>
      <c r="AM43" s="507"/>
      <c r="AN43" s="507" t="str">
        <f>IF(T43="","",T43)</f>
        <v>Наименование централизованной системы водоотведения</v>
      </c>
      <c r="AO43" s="507"/>
      <c r="AP43" s="507"/>
      <c r="AQ43" s="1162">
        <v>23</v>
      </c>
    </row>
    <row customHeight="1" ht="24">
      <c r="A44" s="1370" t="s">
        <v>265</v>
      </c>
      <c r="B44" s="1370" t="s">
        <v>266</v>
      </c>
      <c r="C44" s="1370" t="s">
        <v>267</v>
      </c>
      <c r="D44" s="1370" t="s">
        <v>519</v>
      </c>
      <c r="E44" s="2279"/>
      <c r="F44" s="2279"/>
      <c r="G44" s="2279"/>
      <c r="H44" s="2279"/>
      <c r="I44" s="2276" t="str">
        <f>S43&amp;".1"</f>
        <v>...1</v>
      </c>
      <c r="J44" s="1370"/>
      <c r="K44" s="1370"/>
      <c r="L44" s="1371"/>
      <c r="P44" s="2277">
        <v>1</v>
      </c>
      <c r="Q44" s="1488"/>
      <c r="R44" s="363"/>
      <c r="S44" s="1500" t="str">
        <f>$I44</f>
        <v>...1</v>
      </c>
      <c r="T44" s="292" t="s">
        <v>482</v>
      </c>
      <c r="U44" s="307"/>
      <c r="V44" s="2370"/>
      <c r="W44" s="2371"/>
      <c r="X44" s="2371"/>
      <c r="Y44" s="2371"/>
      <c r="Z44" s="2371"/>
      <c r="AA44" s="2371"/>
      <c r="AB44" s="2372"/>
      <c r="AC44" s="2373"/>
      <c r="AD44" s="2374"/>
      <c r="AE44" s="2374"/>
      <c r="AF44" s="2374"/>
      <c r="AG44" s="2374"/>
      <c r="AH44" s="2374"/>
      <c r="AI44" s="2374"/>
      <c r="AJ44" s="2375"/>
      <c r="AK44" s="1265" t="s">
        <v>483</v>
      </c>
      <c r="AM44" s="507"/>
      <c r="AN44" s="507" t="str">
        <f>IF(T44="","",T44)</f>
        <v>Наименование признака дифференциации</v>
      </c>
      <c r="AO44" s="507"/>
      <c r="AP44" s="507"/>
      <c r="AQ44" s="1162">
        <v>23</v>
      </c>
    </row>
    <row customHeight="1" ht="24">
      <c r="A45" s="1370" t="s">
        <v>265</v>
      </c>
      <c r="B45" s="1370" t="s">
        <v>266</v>
      </c>
      <c r="C45" s="1370" t="s">
        <v>267</v>
      </c>
      <c r="D45" s="1370" t="s">
        <v>519</v>
      </c>
      <c r="E45" s="2279"/>
      <c r="F45" s="2279"/>
      <c r="G45" s="2279"/>
      <c r="H45" s="2279"/>
      <c r="I45" s="2306"/>
      <c r="J45" s="2276" t="str">
        <f>I44&amp;".1"</f>
        <v>...1.1</v>
      </c>
      <c r="K45" s="1370"/>
      <c r="L45" s="1371" t="s">
        <v>405</v>
      </c>
      <c r="P45" s="2277"/>
      <c r="Q45" s="2277">
        <v>1</v>
      </c>
      <c r="R45" s="364"/>
      <c r="S45" s="1500" t="str">
        <f>$J45</f>
        <v>...1.1</v>
      </c>
      <c r="T45" s="293" t="s">
        <v>406</v>
      </c>
      <c r="U45" s="307"/>
      <c r="V45" s="2265"/>
      <c r="W45" s="2266"/>
      <c r="X45" s="2266"/>
      <c r="Y45" s="2266"/>
      <c r="Z45" s="2266"/>
      <c r="AA45" s="2266"/>
      <c r="AB45" s="2267"/>
      <c r="AC45" s="2265"/>
      <c r="AD45" s="2266"/>
      <c r="AE45" s="2266"/>
      <c r="AF45" s="2266"/>
      <c r="AG45" s="2266"/>
      <c r="AH45" s="2266"/>
      <c r="AI45" s="2266"/>
      <c r="AJ45" s="2267"/>
      <c r="AK45" s="1314" t="s">
        <v>484</v>
      </c>
      <c r="AM45" s="507"/>
      <c r="AN45" s="507" t="str">
        <f>IF(T45="","",T45)</f>
        <v>Группа потребителей</v>
      </c>
      <c r="AO45" s="507"/>
      <c r="AP45" s="507"/>
      <c r="AQ45" s="1162">
        <v>23</v>
      </c>
    </row>
    <row customHeight="1" ht="24">
      <c r="A46" s="1370" t="s">
        <v>265</v>
      </c>
      <c r="B46" s="1370" t="s">
        <v>266</v>
      </c>
      <c r="C46" s="1370" t="s">
        <v>267</v>
      </c>
      <c r="D46" s="1370" t="s">
        <v>519</v>
      </c>
      <c r="E46" s="2279"/>
      <c r="F46" s="2279"/>
      <c r="G46" s="2279"/>
      <c r="H46" s="2279"/>
      <c r="I46" s="2306"/>
      <c r="J46" s="2306"/>
      <c r="K46" s="2276" t="str">
        <f>J45&amp;".1"</f>
        <v>...1.1.1</v>
      </c>
      <c r="L46" s="1371"/>
      <c r="P46" s="2277"/>
      <c r="Q46" s="2277"/>
      <c r="R46" s="364">
        <v>1</v>
      </c>
      <c r="S46" s="1500" t="str">
        <f>$K46</f>
        <v>...1.1.1</v>
      </c>
      <c r="T46" s="1444"/>
      <c r="U46" s="307"/>
      <c r="V46" s="1367"/>
      <c r="W46" s="1367"/>
      <c r="X46" s="1368"/>
      <c r="Y46" s="2287"/>
      <c r="Z46" s="2288" t="s">
        <v>61</v>
      </c>
      <c r="AA46" s="2287"/>
      <c r="AB46" s="2288" t="s">
        <v>61</v>
      </c>
      <c r="AC46" s="758"/>
      <c r="AD46" s="758"/>
      <c r="AE46" s="1264"/>
      <c r="AF46" s="2285"/>
      <c r="AG46" s="2127" t="s">
        <v>61</v>
      </c>
      <c r="AH46" s="2307"/>
      <c r="AI46" s="2127" t="s">
        <v>19</v>
      </c>
      <c r="AJ46" s="1445"/>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265</v>
      </c>
      <c r="B47" s="1370" t="s">
        <v>266</v>
      </c>
      <c r="C47" s="1370" t="s">
        <v>267</v>
      </c>
      <c r="D47" s="1370" t="s">
        <v>519</v>
      </c>
      <c r="E47" s="2279"/>
      <c r="F47" s="2279"/>
      <c r="G47" s="2279"/>
      <c r="H47" s="2279"/>
      <c r="I47" s="2306"/>
      <c r="J47" s="2306"/>
      <c r="K47" s="2276"/>
      <c r="L47" s="1371"/>
      <c r="P47" s="2277"/>
      <c r="Q47" s="2277"/>
      <c r="R47" s="364"/>
      <c r="S47" s="1497"/>
      <c r="T47" s="307"/>
      <c r="U47" s="307"/>
      <c r="V47" s="1367"/>
      <c r="W47" s="1367"/>
      <c r="X47" s="335" t="str">
        <f>Y46&amp;"-"&amp;AA46</f>
        <v>-</v>
      </c>
      <c r="Y47" s="2288"/>
      <c r="Z47" s="2288"/>
      <c r="AA47" s="2288"/>
      <c r="AB47" s="2288"/>
      <c r="AC47" s="332"/>
      <c r="AD47" s="332"/>
      <c r="AE47" s="335" t="str">
        <f>AF46&amp;"-"&amp;AH46</f>
        <v>-</v>
      </c>
      <c r="AF47" s="2286"/>
      <c r="AG47" s="2127"/>
      <c r="AH47" s="2308"/>
      <c r="AI47" s="2127"/>
      <c r="AJ47" s="1446"/>
      <c r="AK47" s="2369"/>
      <c r="AM47" s="507"/>
      <c r="AN47" s="507" t="str">
        <f>IF(T47="","",T47)</f>
        <v/>
      </c>
      <c r="AO47" s="507"/>
      <c r="AP47" s="507"/>
      <c r="AQ47" s="1162">
        <v>0</v>
      </c>
    </row>
    <row customHeight="1" ht="21">
      <c r="A48" s="1370" t="s">
        <v>265</v>
      </c>
      <c r="B48" s="1370" t="s">
        <v>266</v>
      </c>
      <c r="C48" s="1370" t="s">
        <v>267</v>
      </c>
      <c r="D48" s="1370" t="s">
        <v>519</v>
      </c>
      <c r="E48" s="2279"/>
      <c r="F48" s="2279"/>
      <c r="G48" s="2279"/>
      <c r="H48" s="2279"/>
      <c r="I48" s="2306"/>
      <c r="J48" s="2276"/>
      <c r="K48" s="1370"/>
      <c r="L48" s="1371"/>
      <c r="P48" s="2277"/>
      <c r="Q48" s="2277"/>
      <c r="R48" s="363"/>
      <c r="S48" s="1285"/>
      <c r="T48" s="294" t="s">
        <v>485</v>
      </c>
      <c r="U48" s="374"/>
      <c r="V48" s="374"/>
      <c r="W48" s="374"/>
      <c r="X48" s="374"/>
      <c r="Y48" s="374"/>
      <c r="Z48" s="374"/>
      <c r="AA48" s="374"/>
      <c r="AB48" s="374"/>
      <c r="AC48" s="374"/>
      <c r="AD48" s="374"/>
      <c r="AE48" s="374"/>
      <c r="AF48" s="374"/>
      <c r="AG48" s="374"/>
      <c r="AH48" s="374"/>
      <c r="AI48" s="374"/>
      <c r="AJ48" s="374"/>
      <c r="AK48" s="1265" t="s">
        <v>486</v>
      </c>
      <c r="AM48" s="507"/>
      <c r="AN48" s="507" t="str">
        <f>IF(T48="","",T48)</f>
        <v>Добавить значение признака дифференциации</v>
      </c>
      <c r="AO48" s="507"/>
      <c r="AP48" s="507"/>
      <c r="AQ48" s="1162">
        <v>20</v>
      </c>
    </row>
    <row customHeight="1" ht="22.049999999999997">
      <c r="A49" s="1370" t="s">
        <v>265</v>
      </c>
      <c r="B49" s="1370" t="s">
        <v>266</v>
      </c>
      <c r="C49" s="1370" t="s">
        <v>267</v>
      </c>
      <c r="D49" s="1370" t="s">
        <v>519</v>
      </c>
      <c r="E49" s="2279"/>
      <c r="F49" s="2279"/>
      <c r="G49" s="2279"/>
      <c r="H49" s="2279"/>
      <c r="I49" s="2276"/>
      <c r="J49" s="1370"/>
      <c r="K49" s="1370"/>
      <c r="L49" s="1371"/>
      <c r="P49" s="2277"/>
      <c r="Q49" s="1488"/>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265</v>
      </c>
      <c r="B50" s="1370" t="s">
        <v>266</v>
      </c>
      <c r="C50" s="1370" t="s">
        <v>267</v>
      </c>
      <c r="D50" s="1370" t="s">
        <v>519</v>
      </c>
      <c r="E50" s="2279"/>
      <c r="F50" s="2279"/>
      <c r="G50" s="2279"/>
      <c r="H50" s="2278"/>
      <c r="I50" s="1370"/>
      <c r="J50" s="1370"/>
      <c r="K50" s="1370"/>
      <c r="L50" s="1371"/>
      <c r="M50" s="1372"/>
      <c r="N50" s="1372"/>
      <c r="O50" s="544"/>
      <c r="P50" s="367"/>
      <c r="Q50" s="382"/>
      <c r="R50" s="362"/>
      <c r="S50" s="1285"/>
      <c r="T50" s="379" t="s">
        <v>487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265</v>
      </c>
      <c r="B51" s="1350" t="s">
        <v>266</v>
      </c>
      <c r="C51" s="1321"/>
      <c r="D51" s="1321"/>
      <c r="E51" s="2279"/>
      <c r="F51" s="2278"/>
      <c r="G51" s="1321"/>
      <c r="H51" s="1321"/>
      <c r="I51" s="1321"/>
      <c r="J51" s="1321"/>
      <c r="K51" s="1321"/>
      <c r="L51" s="1501"/>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265</v>
      </c>
      <c r="B52" s="1350"/>
      <c r="C52" s="1350"/>
      <c r="D52" s="1350"/>
      <c r="E52" s="2278"/>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05"/>
      <c r="U55" s="2305"/>
      <c r="V55" s="2305"/>
      <c r="W55" s="2305"/>
      <c r="X55" s="2305"/>
      <c r="Y55" s="2305"/>
      <c r="Z55" s="2305"/>
      <c r="AA55" s="2305"/>
      <c r="AB55" s="2305"/>
      <c r="AC55" s="2305"/>
      <c r="AD55" s="2305"/>
      <c r="AE55" s="2305"/>
      <c r="AF55" s="2305"/>
      <c r="AG55" s="2305"/>
      <c r="AH55" s="2305"/>
      <c r="AI55" s="2305"/>
      <c r="AJ55" s="2305"/>
      <c r="AK55" s="2305"/>
      <c r="AQ55" s="1162">
        <v>14</v>
      </c>
    </row>
    <row customHeight="1" ht="14.699999999999998">
      <c r="O56" s="544"/>
      <c r="AQ56" s="1162">
        <v>14</v>
      </c>
    </row>
    <row customHeight="1" ht="14.699999999999998">
      <c r="O57" s="544"/>
      <c r="S57" s="1260"/>
      <c r="T57" s="2305"/>
      <c r="U57" s="2305"/>
      <c r="V57" s="2305"/>
      <c r="W57" s="2305"/>
      <c r="X57" s="2305"/>
      <c r="Y57" s="2305"/>
      <c r="Z57" s="2305"/>
      <c r="AA57" s="2305"/>
      <c r="AB57" s="2305"/>
      <c r="AC57" s="2305"/>
      <c r="AD57" s="2305"/>
      <c r="AE57" s="2305"/>
      <c r="AF57" s="2305"/>
      <c r="AG57" s="2305"/>
      <c r="AH57" s="2305"/>
      <c r="AI57" s="2305"/>
      <c r="AJ57" s="2305"/>
      <c r="AK57" s="2305"/>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B7A6D-A7A2-272B-E466-0.CDA191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78">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2"/>
      <c r="W2" s="2263"/>
      <c r="X2" s="2263"/>
      <c r="Y2" s="2263"/>
      <c r="Z2" s="2263"/>
      <c r="AA2" s="2263"/>
      <c r="AB2" s="2264"/>
      <c r="AC2" s="2262">
        <f>INDEX(PT_DIFFERENTIATION_NTAR,MATCH(A2,PT_DIFFERENTIATION_NTAR_ID,0))</f>
      </c>
      <c r="AD2" s="2263"/>
      <c r="AE2" s="2263"/>
      <c r="AF2" s="2263"/>
      <c r="AG2" s="2263"/>
      <c r="AH2" s="2263"/>
      <c r="AI2" s="2263"/>
      <c r="AJ2" s="2264"/>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79"/>
      <c r="F3" s="2278">
        <v>1</v>
      </c>
      <c r="G3" s="1370"/>
      <c r="H3" s="1370"/>
      <c r="I3" s="1370"/>
      <c r="J3" s="1370"/>
      <c r="K3" s="1370"/>
      <c r="L3" s="1371"/>
      <c r="M3" s="1372"/>
      <c r="N3" s="1372"/>
      <c r="O3" s="1372"/>
      <c r="P3" s="1494"/>
      <c r="Q3" s="359"/>
      <c r="R3" s="360"/>
      <c r="S3" s="1500">
        <f>INDEX(PT_DIFFERENTIATION_NUM_TER,MATCH(B3,PT_DIFFERENTIATION_TER_ID,0))</f>
      </c>
      <c r="T3" s="315" t="s">
        <v>396</v>
      </c>
      <c r="U3" s="307"/>
      <c r="V3" s="2262"/>
      <c r="W3" s="2263"/>
      <c r="X3" s="2263"/>
      <c r="Y3" s="2263"/>
      <c r="Z3" s="2263"/>
      <c r="AA3" s="2263"/>
      <c r="AB3" s="2264"/>
      <c r="AC3" s="2262">
        <f>INDEX(PT_DIFFERENTIATION_TER,MATCH(B3,PT_DIFFERENTIATION_TER_ID,0))</f>
      </c>
      <c r="AD3" s="2263"/>
      <c r="AE3" s="2263"/>
      <c r="AF3" s="2263"/>
      <c r="AG3" s="2263"/>
      <c r="AH3" s="2263"/>
      <c r="AI3" s="2263"/>
      <c r="AJ3" s="2264"/>
      <c r="AK3" s="1265" t="s">
        <v>397</v>
      </c>
      <c r="AM3" s="507"/>
      <c r="AN3" s="507" t="str">
        <f>IF(T3="","",T3)</f>
        <v>Территория действия тарифа</v>
      </c>
      <c r="AO3" s="507"/>
      <c r="AP3" s="507"/>
      <c r="AQ3" s="1162">
        <v>0</v>
      </c>
    </row>
    <row customHeight="1" ht="23.25" hidden="1">
      <c r="A4" s="1370"/>
      <c r="B4" s="1370"/>
      <c r="C4" s="1370"/>
      <c r="D4" s="1370"/>
      <c r="E4" s="2279"/>
      <c r="F4" s="2279"/>
      <c r="G4" s="2278">
        <v>1</v>
      </c>
      <c r="H4" s="1370"/>
      <c r="I4" s="1370"/>
      <c r="J4" s="1370"/>
      <c r="K4" s="1370"/>
      <c r="L4" s="1371"/>
      <c r="M4" s="1372"/>
      <c r="N4" s="1372"/>
      <c r="O4" s="1372"/>
      <c r="P4" s="361"/>
      <c r="Q4" s="359"/>
      <c r="R4" s="360"/>
      <c r="S4" s="1500">
        <f>INDEX(PT_DIFFERENTIATION_NUM_CS,MATCH(C4,PT_DIFFERENTIATION_CS_ID,0))</f>
      </c>
      <c r="T4" s="316" t="s">
        <v>515</v>
      </c>
      <c r="U4" s="307"/>
      <c r="V4" s="2262"/>
      <c r="W4" s="2263"/>
      <c r="X4" s="2263"/>
      <c r="Y4" s="2263"/>
      <c r="Z4" s="2263"/>
      <c r="AA4" s="2263"/>
      <c r="AB4" s="2264"/>
      <c r="AC4" s="2262">
        <f>INDEX(PT_DIFFERENTIATION_CS,MATCH(C4,PT_DIFFERENTIATION_CS_ID,0))</f>
      </c>
      <c r="AD4" s="2263"/>
      <c r="AE4" s="2263"/>
      <c r="AF4" s="2263"/>
      <c r="AG4" s="2263"/>
      <c r="AH4" s="2263"/>
      <c r="AI4" s="2263"/>
      <c r="AJ4" s="2264"/>
      <c r="AK4" s="1265" t="s">
        <v>516</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79"/>
      <c r="F5" s="2279"/>
      <c r="G5" s="2279"/>
      <c r="H5" s="2279"/>
      <c r="I5" s="2276">
        <f>S4&amp;".1"</f>
      </c>
      <c r="J5" s="1370"/>
      <c r="K5" s="1370"/>
      <c r="L5" s="1371"/>
      <c r="P5" s="2277">
        <v>1</v>
      </c>
      <c r="Q5" s="1488"/>
      <c r="R5" s="363"/>
      <c r="S5" s="1500">
        <f>$I5</f>
      </c>
      <c r="T5" s="292" t="s">
        <v>482</v>
      </c>
      <c r="U5" s="307"/>
      <c r="V5" s="2370"/>
      <c r="W5" s="2371"/>
      <c r="X5" s="2371"/>
      <c r="Y5" s="2371"/>
      <c r="Z5" s="2371"/>
      <c r="AA5" s="2371"/>
      <c r="AB5" s="2372"/>
      <c r="AC5" s="2373"/>
      <c r="AD5" s="2374"/>
      <c r="AE5" s="2374"/>
      <c r="AF5" s="2374"/>
      <c r="AG5" s="2374"/>
      <c r="AH5" s="2374"/>
      <c r="AI5" s="2374"/>
      <c r="AJ5" s="2375"/>
      <c r="AK5" s="1265" t="s">
        <v>483</v>
      </c>
      <c r="AM5" s="507"/>
      <c r="AN5" s="507" t="str">
        <f>IF(T5="","",T5)</f>
        <v>Наименование признака дифференциации</v>
      </c>
      <c r="AO5" s="507"/>
      <c r="AP5" s="507"/>
      <c r="AQ5" s="1162">
        <v>0</v>
      </c>
    </row>
    <row customHeight="1" ht="23.25" hidden="1">
      <c r="A6" s="1370"/>
      <c r="B6" s="1370"/>
      <c r="C6" s="1370"/>
      <c r="D6" s="1370"/>
      <c r="E6" s="2279"/>
      <c r="F6" s="2279"/>
      <c r="G6" s="2279"/>
      <c r="H6" s="2279"/>
      <c r="I6" s="2306"/>
      <c r="J6" s="2276">
        <f>I5&amp;".1"</f>
      </c>
      <c r="K6" s="1370"/>
      <c r="L6" s="1371" t="s">
        <v>405</v>
      </c>
      <c r="P6" s="2277"/>
      <c r="Q6" s="2277">
        <v>1</v>
      </c>
      <c r="R6" s="364"/>
      <c r="S6" s="1500">
        <f>$J6</f>
      </c>
      <c r="T6" s="293" t="s">
        <v>406</v>
      </c>
      <c r="U6" s="307"/>
      <c r="V6" s="2265"/>
      <c r="W6" s="2266"/>
      <c r="X6" s="2266"/>
      <c r="Y6" s="2266"/>
      <c r="Z6" s="2266"/>
      <c r="AA6" s="2266"/>
      <c r="AB6" s="2267"/>
      <c r="AC6" s="2265"/>
      <c r="AD6" s="2266"/>
      <c r="AE6" s="2266"/>
      <c r="AF6" s="2266"/>
      <c r="AG6" s="2266"/>
      <c r="AH6" s="2266"/>
      <c r="AI6" s="2266"/>
      <c r="AJ6" s="2267"/>
      <c r="AK6" s="1314" t="s">
        <v>484</v>
      </c>
      <c r="AM6" s="507"/>
      <c r="AN6" s="507" t="str">
        <f>IF(T6="","",T6)</f>
        <v>Группа потребителей</v>
      </c>
      <c r="AO6" s="507"/>
      <c r="AP6" s="507"/>
      <c r="AQ6" s="1162">
        <v>0</v>
      </c>
    </row>
    <row customHeight="1" ht="23.25" hidden="1">
      <c r="A7" s="1370"/>
      <c r="B7" s="1370"/>
      <c r="C7" s="1370"/>
      <c r="D7" s="1370"/>
      <c r="E7" s="2279"/>
      <c r="F7" s="2279"/>
      <c r="G7" s="2279"/>
      <c r="H7" s="2279"/>
      <c r="I7" s="2306"/>
      <c r="J7" s="2306"/>
      <c r="K7" s="2276">
        <f>J6&amp;".1"</f>
      </c>
      <c r="L7" s="1371"/>
      <c r="P7" s="2277"/>
      <c r="Q7" s="2277"/>
      <c r="R7" s="364">
        <v>1</v>
      </c>
      <c r="S7" s="1500">
        <f>$K7</f>
      </c>
      <c r="T7" s="1444"/>
      <c r="U7" s="307"/>
      <c r="V7" s="758"/>
      <c r="W7" s="758"/>
      <c r="X7" s="1264"/>
      <c r="Y7" s="2285"/>
      <c r="Z7" s="2127" t="s">
        <v>61</v>
      </c>
      <c r="AA7" s="2285"/>
      <c r="AB7" s="2127" t="s">
        <v>61</v>
      </c>
      <c r="AC7" s="758"/>
      <c r="AD7" s="758"/>
      <c r="AE7" s="1264"/>
      <c r="AF7" s="2285"/>
      <c r="AG7" s="2127" t="s">
        <v>61</v>
      </c>
      <c r="AH7" s="2307"/>
      <c r="AI7" s="2127" t="s">
        <v>61</v>
      </c>
      <c r="AJ7" s="1445"/>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79"/>
      <c r="F8" s="2279"/>
      <c r="G8" s="2279"/>
      <c r="H8" s="2279"/>
      <c r="I8" s="2306"/>
      <c r="J8" s="2306"/>
      <c r="K8" s="2276"/>
      <c r="L8" s="1371"/>
      <c r="P8" s="2277"/>
      <c r="Q8" s="2277"/>
      <c r="R8" s="364"/>
      <c r="S8" s="1497"/>
      <c r="T8" s="307"/>
      <c r="U8" s="307"/>
      <c r="V8" s="332"/>
      <c r="W8" s="332"/>
      <c r="X8" s="335" t="str">
        <f>Y7&amp;"-"&amp;AA7</f>
        <v>-</v>
      </c>
      <c r="Y8" s="2286"/>
      <c r="Z8" s="2127"/>
      <c r="AA8" s="2286"/>
      <c r="AB8" s="2127"/>
      <c r="AC8" s="332"/>
      <c r="AD8" s="332"/>
      <c r="AE8" s="335" t="str">
        <f>AF7&amp;"-"&amp;AH7</f>
        <v>-</v>
      </c>
      <c r="AF8" s="2286"/>
      <c r="AG8" s="2127"/>
      <c r="AH8" s="2308"/>
      <c r="AI8" s="2127"/>
      <c r="AJ8" s="1446"/>
      <c r="AK8" s="2369"/>
      <c r="AM8" s="507"/>
      <c r="AN8" s="507" t="str">
        <f>IF(T8="","",T8)</f>
        <v/>
      </c>
      <c r="AO8" s="507"/>
      <c r="AP8" s="507"/>
      <c r="AQ8" s="1162">
        <v>0</v>
      </c>
    </row>
    <row customHeight="1" ht="21" hidden="1">
      <c r="A9" s="1370"/>
      <c r="B9" s="1370"/>
      <c r="C9" s="1370"/>
      <c r="D9" s="1370"/>
      <c r="E9" s="2279"/>
      <c r="F9" s="2279"/>
      <c r="G9" s="2279"/>
      <c r="H9" s="2279"/>
      <c r="I9" s="2306"/>
      <c r="J9" s="2276"/>
      <c r="K9" s="1370"/>
      <c r="L9" s="1371"/>
      <c r="P9" s="2277"/>
      <c r="Q9" s="2277"/>
      <c r="R9" s="363"/>
      <c r="S9" s="1285"/>
      <c r="T9" s="294" t="s">
        <v>485</v>
      </c>
      <c r="U9" s="374"/>
      <c r="V9" s="374"/>
      <c r="W9" s="374"/>
      <c r="X9" s="374"/>
      <c r="Y9" s="374"/>
      <c r="Z9" s="374"/>
      <c r="AA9" s="374"/>
      <c r="AB9" s="374"/>
      <c r="AC9" s="374"/>
      <c r="AD9" s="374"/>
      <c r="AE9" s="374"/>
      <c r="AF9" s="374"/>
      <c r="AG9" s="374"/>
      <c r="AH9" s="374"/>
      <c r="AI9" s="374"/>
      <c r="AJ9" s="374"/>
      <c r="AK9" s="1265" t="s">
        <v>486</v>
      </c>
      <c r="AM9" s="507"/>
      <c r="AN9" s="507" t="str">
        <f>IF(T9="","",T9)</f>
        <v>Добавить значение признака дифференциации</v>
      </c>
      <c r="AO9" s="507"/>
      <c r="AP9" s="507"/>
      <c r="AQ9" s="1162">
        <v>0</v>
      </c>
    </row>
    <row customHeight="1" ht="21" hidden="1">
      <c r="A10" s="1370"/>
      <c r="B10" s="1370"/>
      <c r="C10" s="1370"/>
      <c r="D10" s="1370"/>
      <c r="E10" s="2279"/>
      <c r="F10" s="2279"/>
      <c r="G10" s="2279"/>
      <c r="H10" s="2279"/>
      <c r="I10" s="2276"/>
      <c r="J10" s="1370"/>
      <c r="K10" s="1370"/>
      <c r="L10" s="1371"/>
      <c r="P10" s="2277"/>
      <c r="Q10" s="1488"/>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79"/>
      <c r="F11" s="2279"/>
      <c r="G11" s="2279"/>
      <c r="H11" s="2278"/>
      <c r="I11" s="1370"/>
      <c r="J11" s="1370"/>
      <c r="K11" s="1370"/>
      <c r="L11" s="1371"/>
      <c r="M11" s="1372"/>
      <c r="N11" s="1372"/>
      <c r="O11" s="544"/>
      <c r="P11" s="367"/>
      <c r="Q11" s="382"/>
      <c r="R11" s="362"/>
      <c r="S11" s="1285"/>
      <c r="T11" s="379" t="s">
        <v>487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79"/>
      <c r="F12" s="2278"/>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78"/>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87"/>
      <c r="AG15" s="2288" t="s">
        <v>61</v>
      </c>
      <c r="AH15" s="2287"/>
      <c r="AI15" s="2288" t="s">
        <v>61</v>
      </c>
      <c r="AQ15" s="1162">
        <v>0</v>
      </c>
    </row>
    <row customHeight="1" ht="14.25" hidden="1">
      <c r="AC16" s="1367"/>
      <c r="AD16" s="1367"/>
      <c r="AE16" s="335" t="str">
        <f>AF15&amp;"-"&amp;AH15</f>
        <v>-</v>
      </c>
      <c r="AF16" s="2288"/>
      <c r="AG16" s="2288"/>
      <c r="AH16" s="2288"/>
      <c r="AI16" s="2288"/>
      <c r="AQ16" s="1162">
        <v>0</v>
      </c>
    </row>
    <row customHeight="1" ht="14.25" hidden="1">
      <c r="AI17" s="334"/>
      <c r="AQ17" s="1162">
        <v>0</v>
      </c>
    </row>
    <row s="1373" customFormat="1" customHeight="1" ht="22.5" hidden="1">
      <c r="L18" s="1485"/>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50"/>
      <c r="AQ24" s="1162">
        <v>14</v>
      </c>
    </row>
    <row customHeight="1" ht="14.699999999999998">
      <c r="Q25" s="383"/>
      <c r="R25" s="383"/>
      <c r="S25" s="2269" t="str">
        <f>IF(org=0,"Не определено",org)</f>
        <v>ИМУП «ПОСЖИЛКОМСЕРВИС»</v>
      </c>
      <c r="T25" s="2269"/>
      <c r="U25" s="2269"/>
      <c r="V25" s="2269"/>
      <c r="W25" s="2269"/>
      <c r="X25" s="2269"/>
      <c r="Y25" s="2269"/>
      <c r="Z25" s="2269"/>
      <c r="AA25" s="2269"/>
      <c r="AB25" s="2269"/>
      <c r="AC25" s="2269"/>
      <c r="AD25" s="2269"/>
      <c r="AE25" s="2269"/>
      <c r="AF25" s="2269"/>
      <c r="AG25" s="2269"/>
      <c r="AH25" s="2269"/>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0" t="s">
        <v>41</v>
      </c>
      <c r="T27" s="2270"/>
      <c r="U27" s="1379"/>
      <c r="V27" s="2271" t="str">
        <f>IF(TITLE_NAME_OR_PR_CHANGE="",IF(TITLE_NAME_OR_PR="","",TITLE_NAME_OR_PR),TITLE_NAME_OR_PR_CHANGE)</f>
        <v/>
      </c>
      <c r="W27" s="2271"/>
      <c r="X27" s="2271"/>
      <c r="Y27" s="2271"/>
      <c r="Z27" s="2271"/>
      <c r="AA27" s="2271"/>
      <c r="AB27" s="333"/>
      <c r="AC27" s="2271" t="str">
        <f>IF(TITLE_NAME_OR_PR_CHANGE="",IF(TITLE_NAME_OR_PR="","",TITLE_NAME_OR_PR),TITLE_NAME_OR_PR_CHANGE)</f>
        <v/>
      </c>
      <c r="AD27" s="2271"/>
      <c r="AE27" s="2271"/>
      <c r="AF27" s="2271"/>
      <c r="AG27" s="2271"/>
      <c r="AH27" s="2271"/>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0" t="s">
        <v>422</v>
      </c>
      <c r="T28" s="2270"/>
      <c r="U28" s="1379"/>
      <c r="V28" s="2284" t="str">
        <f>IF(TITLE_DATE_PR_CHANGE="",IF(TITLE_DATE_PR="","",TITLE_DATE_PR),TITLE_DATE_PR_CHANGE)</f>
        <v/>
      </c>
      <c r="W28" s="2284"/>
      <c r="X28" s="2284"/>
      <c r="Y28" s="2284"/>
      <c r="Z28" s="2284"/>
      <c r="AA28" s="2284"/>
      <c r="AB28" s="333"/>
      <c r="AC28" s="2284" t="str">
        <f>IF(TITLE_DATE_PR_CHANGE="",IF(TITLE_DATE_PR="","",TITLE_DATE_PR),TITLE_DATE_PR_CHANGE)</f>
        <v/>
      </c>
      <c r="AD28" s="2284"/>
      <c r="AE28" s="2284"/>
      <c r="AF28" s="2284"/>
      <c r="AG28" s="2284"/>
      <c r="AH28" s="2284"/>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0" t="s">
        <v>423</v>
      </c>
      <c r="T29" s="2270"/>
      <c r="U29" s="1379"/>
      <c r="V29" s="2271" t="str">
        <f>IF(TITLE_NUMBER_PR_CHANGE="",IF(TITLE_NUMBER_PR="","",TITLE_NUMBER_PR),TITLE_NUMBER_PR_CHANGE)</f>
        <v/>
      </c>
      <c r="W29" s="2271"/>
      <c r="X29" s="2271"/>
      <c r="Y29" s="2271"/>
      <c r="Z29" s="2271"/>
      <c r="AA29" s="2271"/>
      <c r="AB29" s="333"/>
      <c r="AC29" s="2271" t="str">
        <f>IF(TITLE_NUMBER_PR_CHANGE="",IF(TITLE_NUMBER_PR="","",TITLE_NUMBER_PR),TITLE_NUMBER_PR_CHANGE)</f>
        <v/>
      </c>
      <c r="AD29" s="2271"/>
      <c r="AE29" s="2271"/>
      <c r="AF29" s="2271"/>
      <c r="AG29" s="2271"/>
      <c r="AH29" s="2271"/>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v>
      </c>
      <c r="T30" s="2270"/>
      <c r="U30" s="1379"/>
      <c r="V30" s="2271" t="str">
        <f>IF(TITLE_IST_PUB_CHANGE="",IF(TITLE_IST_PUB="","",TITLE_IST_PUB),TITLE_IST_PUB_CHANGE)</f>
        <v/>
      </c>
      <c r="W30" s="2271"/>
      <c r="X30" s="2271"/>
      <c r="Y30" s="2271"/>
      <c r="Z30" s="2271"/>
      <c r="AA30" s="2271"/>
      <c r="AB30" s="333"/>
      <c r="AC30" s="2271" t="str">
        <f>IF(TITLE_IST_PUB_CHANGE="",IF(TITLE_IST_PUB="","",TITLE_IST_PUB),TITLE_IST_PUB_CHANGE)</f>
        <v/>
      </c>
      <c r="AD30" s="2271"/>
      <c r="AE30" s="2271"/>
      <c r="AF30" s="2271"/>
      <c r="AG30" s="2271"/>
      <c r="AH30" s="2271"/>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0" t="s">
        <v>424</v>
      </c>
      <c r="T32" s="2270"/>
      <c r="U32" s="1379"/>
      <c r="V32" s="2284" t="str">
        <f>IF(TITLE_DATE_PR_CHANGE="",IF(TITLE_DATE_PR="","",TITLE_DATE_PR),TITLE_DATE_PR_CHANGE)</f>
        <v/>
      </c>
      <c r="W32" s="2284"/>
      <c r="X32" s="2284"/>
      <c r="Y32" s="2284"/>
      <c r="Z32" s="2284"/>
      <c r="AA32" s="2284"/>
      <c r="AB32" s="333"/>
      <c r="AC32" s="2284" t="str">
        <f>IF(TITLE_DATE_PR_CHANGE="",IF(TITLE_DATE_PR="","",TITLE_DATE_PR),TITLE_DATE_PR_CHANGE)</f>
        <v/>
      </c>
      <c r="AD32" s="2284"/>
      <c r="AE32" s="2284"/>
      <c r="AF32" s="2284"/>
      <c r="AG32" s="2284"/>
      <c r="AH32" s="2284"/>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0" t="s">
        <v>425</v>
      </c>
      <c r="T33" s="2270"/>
      <c r="U33" s="1379"/>
      <c r="V33" s="2271" t="str">
        <f>IF(TITLE_NUMBER_PR_CHANGE="",IF(TITLE_NUMBER_PR="","",TITLE_NUMBER_PR),TITLE_NUMBER_PR_CHANGE)</f>
        <v/>
      </c>
      <c r="W33" s="2271"/>
      <c r="X33" s="2271"/>
      <c r="Y33" s="2271"/>
      <c r="Z33" s="2271"/>
      <c r="AA33" s="2271"/>
      <c r="AB33" s="333"/>
      <c r="AC33" s="2271" t="str">
        <f>IF(TITLE_NUMBER_PR_CHANGE="",IF(TITLE_NUMBER_PR="","",TITLE_NUMBER_PR),TITLE_NUMBER_PR_CHANGE)</f>
        <v/>
      </c>
      <c r="AD33" s="2271"/>
      <c r="AE33" s="2271"/>
      <c r="AF33" s="2271"/>
      <c r="AG33" s="2271"/>
      <c r="AH33" s="2271"/>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426</v>
      </c>
      <c r="AC34" s="333"/>
      <c r="AD34" s="333"/>
      <c r="AE34" s="333"/>
      <c r="AF34" s="333"/>
      <c r="AG34" s="333"/>
      <c r="AH34" s="333"/>
      <c r="AI34" s="285" t="s">
        <v>426</v>
      </c>
      <c r="AL34" s="375"/>
      <c r="AM34" s="375"/>
      <c r="AN34" s="375"/>
      <c r="AO34" s="375"/>
      <c r="AP34" s="375"/>
      <c r="AQ34" s="425">
        <v>1</v>
      </c>
    </row>
    <row customHeight="1" ht="14.699999999999998">
      <c r="Q35" s="383"/>
      <c r="R35" s="383"/>
      <c r="S35" s="1282"/>
      <c r="T35" s="370"/>
      <c r="U35" s="1251"/>
      <c r="V35" s="2272"/>
      <c r="W35" s="2272"/>
      <c r="X35" s="2272"/>
      <c r="Y35" s="2272"/>
      <c r="Z35" s="2272"/>
      <c r="AA35" s="2272"/>
      <c r="AB35" s="2272"/>
      <c r="AC35" s="2272"/>
      <c r="AD35" s="2272"/>
      <c r="AE35" s="2272"/>
      <c r="AF35" s="2272"/>
      <c r="AG35" s="2272"/>
      <c r="AH35" s="2272"/>
      <c r="AI35" s="2272"/>
      <c r="AQ35" s="1162">
        <v>14</v>
      </c>
    </row>
    <row customHeight="1" ht="14.699999999999998">
      <c r="Q36" s="383"/>
      <c r="R36" s="383"/>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62">
        <v>14</v>
      </c>
    </row>
    <row customHeight="1" ht="14.699999999999998">
      <c r="Q37" s="383"/>
      <c r="R37" s="383"/>
      <c r="S37" s="2293" t="s">
        <v>87</v>
      </c>
      <c r="T37" s="2229" t="s">
        <v>427</v>
      </c>
      <c r="U37" s="308"/>
      <c r="V37" s="2294" t="s">
        <v>428</v>
      </c>
      <c r="W37" s="2295"/>
      <c r="X37" s="2295"/>
      <c r="Y37" s="2295"/>
      <c r="Z37" s="2295"/>
      <c r="AA37" s="2296"/>
      <c r="AB37" s="2297" t="s">
        <v>429</v>
      </c>
      <c r="AC37" s="2294" t="s">
        <v>428</v>
      </c>
      <c r="AD37" s="2295"/>
      <c r="AE37" s="2295"/>
      <c r="AF37" s="2295"/>
      <c r="AG37" s="2295"/>
      <c r="AH37" s="2296"/>
      <c r="AI37" s="2297" t="s">
        <v>430</v>
      </c>
      <c r="AJ37" s="2300" t="s">
        <v>431</v>
      </c>
      <c r="AK37" s="2147"/>
      <c r="AQ37" s="1162">
        <v>14</v>
      </c>
    </row>
    <row customHeight="1" ht="35.699999999999996">
      <c r="Q38" s="383"/>
      <c r="R38" s="383"/>
      <c r="S38" s="2293"/>
      <c r="T38" s="2229"/>
      <c r="U38" s="1038"/>
      <c r="V38" s="1490" t="s">
        <v>488</v>
      </c>
      <c r="W38" s="2282" t="s">
        <v>434</v>
      </c>
      <c r="X38" s="2283"/>
      <c r="Y38" s="2282" t="s">
        <v>435</v>
      </c>
      <c r="Z38" s="2289"/>
      <c r="AA38" s="2283"/>
      <c r="AB38" s="2298"/>
      <c r="AC38" s="1490" t="s">
        <v>488</v>
      </c>
      <c r="AD38" s="2282" t="s">
        <v>434</v>
      </c>
      <c r="AE38" s="2283"/>
      <c r="AF38" s="2282" t="s">
        <v>435</v>
      </c>
      <c r="AG38" s="2289"/>
      <c r="AH38" s="2283"/>
      <c r="AI38" s="2298"/>
      <c r="AJ38" s="2301"/>
      <c r="AK38" s="2147"/>
      <c r="AQ38" s="1162">
        <v>34</v>
      </c>
    </row>
    <row customHeight="1" ht="90.3">
      <c r="A39" s="1377"/>
      <c r="B39" s="1377" t="s">
        <v>136</v>
      </c>
      <c r="C39" s="1377" t="s">
        <v>137</v>
      </c>
      <c r="D39" s="1377" t="s">
        <v>138</v>
      </c>
      <c r="E39" s="1371" t="s">
        <v>436</v>
      </c>
      <c r="F39" s="1371" t="s">
        <v>437</v>
      </c>
      <c r="G39" s="1371" t="s">
        <v>438</v>
      </c>
      <c r="H39" s="1371"/>
      <c r="I39" s="1371" t="s">
        <v>489</v>
      </c>
      <c r="J39" s="1371" t="s">
        <v>441</v>
      </c>
      <c r="K39" s="1371" t="s">
        <v>490</v>
      </c>
      <c r="L39" s="1371" t="s">
        <v>417</v>
      </c>
      <c r="Q39" s="383"/>
      <c r="R39" s="383"/>
      <c r="S39" s="2293"/>
      <c r="T39" s="2229"/>
      <c r="U39" s="309"/>
      <c r="V39" s="1490" t="s">
        <v>517</v>
      </c>
      <c r="W39" s="1229" t="s">
        <v>518</v>
      </c>
      <c r="X39" s="1229" t="s">
        <v>493</v>
      </c>
      <c r="Y39" s="1496" t="s">
        <v>445</v>
      </c>
      <c r="Z39" s="2290" t="s">
        <v>446</v>
      </c>
      <c r="AA39" s="2291"/>
      <c r="AB39" s="2299"/>
      <c r="AC39" s="1490" t="s">
        <v>517</v>
      </c>
      <c r="AD39" s="1229" t="s">
        <v>518</v>
      </c>
      <c r="AE39" s="1229" t="s">
        <v>493</v>
      </c>
      <c r="AF39" s="1496" t="s">
        <v>445</v>
      </c>
      <c r="AG39" s="2290" t="s">
        <v>446</v>
      </c>
      <c r="AH39" s="2291"/>
      <c r="AI39" s="2299"/>
      <c r="AJ39" s="2302"/>
      <c r="AK39" s="2147"/>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89">
        <f>OFFSET(V40,0,-1)+1</f>
        <v>3</v>
      </c>
      <c r="W40" s="1489">
        <f>OFFSET(W40,0,-1)+1</f>
        <v>4</v>
      </c>
      <c r="X40" s="1489">
        <f>OFFSET(X40,0,-1)+1</f>
        <v>5</v>
      </c>
      <c r="Y40" s="1489">
        <f>OFFSET(Y40,0,-1)+1</f>
        <v>6</v>
      </c>
      <c r="Z40" s="2292">
        <f>OFFSET(Z40,0,-1)+1</f>
        <v>7</v>
      </c>
      <c r="AA40" s="2292"/>
      <c r="AB40" s="1489">
        <f>OFFSET(AB40,0,-2)+1</f>
        <v>8</v>
      </c>
      <c r="AC40" s="1489">
        <f>OFFSET(AC40,0,-1)+1</f>
        <v>9</v>
      </c>
      <c r="AD40" s="1489">
        <f>OFFSET(AD40,0,-1)+1</f>
        <v>10</v>
      </c>
      <c r="AE40" s="1489">
        <f>OFFSET(AE40,0,-1)+1</f>
        <v>11</v>
      </c>
      <c r="AF40" s="1489">
        <f>OFFSET(AF40,0,-1)+1</f>
        <v>12</v>
      </c>
      <c r="AG40" s="2292">
        <f>OFFSET(AG40,0,-1)+1</f>
        <v>13</v>
      </c>
      <c r="AH40" s="2292"/>
      <c r="AI40" s="1489">
        <f>OFFSET(AI40,0,-2)+1</f>
        <v>14</v>
      </c>
      <c r="AJ40" s="1252">
        <f>OFFSET(AJ40,0,-1)</f>
        <v>14</v>
      </c>
      <c r="AK40" s="1489">
        <f>OFFSET(AK40,0,-1)+1</f>
        <v>15</v>
      </c>
      <c r="AL40" s="518"/>
      <c r="AM40" s="518"/>
      <c r="AN40" s="518"/>
      <c r="AO40" s="518"/>
      <c r="AP40" s="518"/>
      <c r="AQ40" s="503">
        <v>0</v>
      </c>
    </row>
    <row customHeight="1" ht="24">
      <c r="A41" s="1370" t="s">
        <v>270</v>
      </c>
      <c r="B41" s="1370"/>
      <c r="C41" s="1370"/>
      <c r="D41" s="1370"/>
      <c r="E41" s="2278">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270</v>
      </c>
      <c r="B42" s="1370" t="s">
        <v>271</v>
      </c>
      <c r="C42" s="1370"/>
      <c r="D42" s="1370"/>
      <c r="E42" s="2279"/>
      <c r="F42" s="2278">
        <v>1</v>
      </c>
      <c r="G42" s="1370"/>
      <c r="H42" s="1370"/>
      <c r="I42" s="1370"/>
      <c r="J42" s="1370"/>
      <c r="K42" s="1370"/>
      <c r="L42" s="1371"/>
      <c r="M42" s="1372"/>
      <c r="N42" s="1372"/>
      <c r="O42" s="1372"/>
      <c r="P42" s="1494"/>
      <c r="Q42" s="359"/>
      <c r="R42" s="360"/>
      <c r="S42" s="1500" t="str">
        <f>INDEX(PT_DIFFERENTIATION_NUM_TER,MATCH(B42,PT_DIFFERENTIATION_TER_ID,0))</f>
        <v>.</v>
      </c>
      <c r="T42" s="315" t="s">
        <v>396</v>
      </c>
      <c r="U42" s="307"/>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65" t="s">
        <v>397</v>
      </c>
      <c r="AM42" s="507"/>
      <c r="AN42" s="507" t="str">
        <f>IF(T42="","",T42)</f>
        <v>Территория действия тарифа</v>
      </c>
      <c r="AO42" s="507"/>
      <c r="AP42" s="507"/>
      <c r="AQ42" s="1162">
        <v>23</v>
      </c>
    </row>
    <row customHeight="1" ht="24">
      <c r="A43" s="1370" t="s">
        <v>270</v>
      </c>
      <c r="B43" s="1370" t="s">
        <v>271</v>
      </c>
      <c r="C43" s="1370" t="s">
        <v>272</v>
      </c>
      <c r="D43" s="1370"/>
      <c r="E43" s="2279"/>
      <c r="F43" s="2279"/>
      <c r="G43" s="2278">
        <v>1</v>
      </c>
      <c r="H43" s="1370"/>
      <c r="I43" s="1370"/>
      <c r="J43" s="1370"/>
      <c r="K43" s="1370"/>
      <c r="L43" s="1371"/>
      <c r="M43" s="1372"/>
      <c r="N43" s="1372"/>
      <c r="O43" s="1372"/>
      <c r="P43" s="361"/>
      <c r="Q43" s="359"/>
      <c r="R43" s="360"/>
      <c r="S43" s="1500" t="str">
        <f>INDEX(PT_DIFFERENTIATION_NUM_CS,MATCH(C43,PT_DIFFERENTIATION_CS_ID,0))</f>
        <v>..</v>
      </c>
      <c r="T43" s="316" t="s">
        <v>515</v>
      </c>
      <c r="U43" s="307"/>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65" t="s">
        <v>516</v>
      </c>
      <c r="AM43" s="507"/>
      <c r="AN43" s="507" t="str">
        <f>IF(T43="","",T43)</f>
        <v>Наименование централизованной системы водоотведения</v>
      </c>
      <c r="AO43" s="507"/>
      <c r="AP43" s="507"/>
      <c r="AQ43" s="1162">
        <v>23</v>
      </c>
    </row>
    <row customHeight="1" ht="24">
      <c r="A44" s="1370" t="s">
        <v>270</v>
      </c>
      <c r="B44" s="1370" t="s">
        <v>271</v>
      </c>
      <c r="C44" s="1370" t="s">
        <v>272</v>
      </c>
      <c r="D44" s="1370" t="s">
        <v>520</v>
      </c>
      <c r="E44" s="2279"/>
      <c r="F44" s="2279"/>
      <c r="G44" s="2279"/>
      <c r="H44" s="2279"/>
      <c r="I44" s="2276" t="str">
        <f>S43&amp;".1"</f>
        <v>...1</v>
      </c>
      <c r="J44" s="1370"/>
      <c r="K44" s="1370"/>
      <c r="L44" s="1371"/>
      <c r="P44" s="2277">
        <v>1</v>
      </c>
      <c r="Q44" s="1488"/>
      <c r="R44" s="363"/>
      <c r="S44" s="1500" t="str">
        <f>$I44</f>
        <v>...1</v>
      </c>
      <c r="T44" s="292" t="s">
        <v>482</v>
      </c>
      <c r="U44" s="307"/>
      <c r="V44" s="2370"/>
      <c r="W44" s="2371"/>
      <c r="X44" s="2371"/>
      <c r="Y44" s="2371"/>
      <c r="Z44" s="2371"/>
      <c r="AA44" s="2371"/>
      <c r="AB44" s="2372"/>
      <c r="AC44" s="2373"/>
      <c r="AD44" s="2374"/>
      <c r="AE44" s="2374"/>
      <c r="AF44" s="2374"/>
      <c r="AG44" s="2374"/>
      <c r="AH44" s="2374"/>
      <c r="AI44" s="2374"/>
      <c r="AJ44" s="2375"/>
      <c r="AK44" s="1265" t="s">
        <v>483</v>
      </c>
      <c r="AM44" s="507"/>
      <c r="AN44" s="507" t="str">
        <f>IF(T44="","",T44)</f>
        <v>Наименование признака дифференциации</v>
      </c>
      <c r="AO44" s="507"/>
      <c r="AP44" s="507"/>
      <c r="AQ44" s="1162">
        <v>23</v>
      </c>
    </row>
    <row customHeight="1" ht="24">
      <c r="A45" s="1370" t="s">
        <v>270</v>
      </c>
      <c r="B45" s="1370" t="s">
        <v>271</v>
      </c>
      <c r="C45" s="1370" t="s">
        <v>272</v>
      </c>
      <c r="D45" s="1370" t="s">
        <v>520</v>
      </c>
      <c r="E45" s="2279"/>
      <c r="F45" s="2279"/>
      <c r="G45" s="2279"/>
      <c r="H45" s="2279"/>
      <c r="I45" s="2306"/>
      <c r="J45" s="2276" t="str">
        <f>I44&amp;".1"</f>
        <v>...1.1</v>
      </c>
      <c r="K45" s="1370"/>
      <c r="L45" s="1371" t="s">
        <v>405</v>
      </c>
      <c r="P45" s="2277"/>
      <c r="Q45" s="2277">
        <v>1</v>
      </c>
      <c r="R45" s="364"/>
      <c r="S45" s="1500" t="str">
        <f>$J45</f>
        <v>...1.1</v>
      </c>
      <c r="T45" s="293" t="s">
        <v>406</v>
      </c>
      <c r="U45" s="307"/>
      <c r="V45" s="2265"/>
      <c r="W45" s="2266"/>
      <c r="X45" s="2266"/>
      <c r="Y45" s="2266"/>
      <c r="Z45" s="2266"/>
      <c r="AA45" s="2266"/>
      <c r="AB45" s="2267"/>
      <c r="AC45" s="2265"/>
      <c r="AD45" s="2266"/>
      <c r="AE45" s="2266"/>
      <c r="AF45" s="2266"/>
      <c r="AG45" s="2266"/>
      <c r="AH45" s="2266"/>
      <c r="AI45" s="2266"/>
      <c r="AJ45" s="2267"/>
      <c r="AK45" s="1314" t="s">
        <v>484</v>
      </c>
      <c r="AM45" s="507"/>
      <c r="AN45" s="507" t="str">
        <f>IF(T45="","",T45)</f>
        <v>Группа потребителей</v>
      </c>
      <c r="AO45" s="507"/>
      <c r="AP45" s="507"/>
      <c r="AQ45" s="1162">
        <v>23</v>
      </c>
    </row>
    <row customHeight="1" ht="24">
      <c r="A46" s="1370" t="s">
        <v>270</v>
      </c>
      <c r="B46" s="1370" t="s">
        <v>271</v>
      </c>
      <c r="C46" s="1370" t="s">
        <v>272</v>
      </c>
      <c r="D46" s="1370" t="s">
        <v>520</v>
      </c>
      <c r="E46" s="2279"/>
      <c r="F46" s="2279"/>
      <c r="G46" s="2279"/>
      <c r="H46" s="2279"/>
      <c r="I46" s="2306"/>
      <c r="J46" s="2306"/>
      <c r="K46" s="2276" t="str">
        <f>J45&amp;".1"</f>
        <v>...1.1.1</v>
      </c>
      <c r="L46" s="1371"/>
      <c r="P46" s="2277"/>
      <c r="Q46" s="2277"/>
      <c r="R46" s="364">
        <v>1</v>
      </c>
      <c r="S46" s="1500" t="str">
        <f>$K46</f>
        <v>...1.1.1</v>
      </c>
      <c r="T46" s="1444"/>
      <c r="U46" s="307"/>
      <c r="V46" s="1367"/>
      <c r="W46" s="1367"/>
      <c r="X46" s="1368"/>
      <c r="Y46" s="2287"/>
      <c r="Z46" s="2288" t="s">
        <v>61</v>
      </c>
      <c r="AA46" s="2287"/>
      <c r="AB46" s="2288" t="s">
        <v>61</v>
      </c>
      <c r="AC46" s="758"/>
      <c r="AD46" s="758"/>
      <c r="AE46" s="1264"/>
      <c r="AF46" s="2285"/>
      <c r="AG46" s="2127" t="s">
        <v>61</v>
      </c>
      <c r="AH46" s="2307"/>
      <c r="AI46" s="2127" t="s">
        <v>19</v>
      </c>
      <c r="AJ46" s="1445"/>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270</v>
      </c>
      <c r="B47" s="1370" t="s">
        <v>271</v>
      </c>
      <c r="C47" s="1370" t="s">
        <v>272</v>
      </c>
      <c r="D47" s="1370" t="s">
        <v>520</v>
      </c>
      <c r="E47" s="2279"/>
      <c r="F47" s="2279"/>
      <c r="G47" s="2279"/>
      <c r="H47" s="2279"/>
      <c r="I47" s="2306"/>
      <c r="J47" s="2306"/>
      <c r="K47" s="2276"/>
      <c r="L47" s="1371"/>
      <c r="P47" s="2277"/>
      <c r="Q47" s="2277"/>
      <c r="R47" s="364"/>
      <c r="S47" s="1497"/>
      <c r="T47" s="307"/>
      <c r="U47" s="307"/>
      <c r="V47" s="1367"/>
      <c r="W47" s="1367"/>
      <c r="X47" s="335" t="str">
        <f>Y46&amp;"-"&amp;AA46</f>
        <v>-</v>
      </c>
      <c r="Y47" s="2288"/>
      <c r="Z47" s="2288"/>
      <c r="AA47" s="2288"/>
      <c r="AB47" s="2288"/>
      <c r="AC47" s="332"/>
      <c r="AD47" s="332"/>
      <c r="AE47" s="335" t="str">
        <f>AF46&amp;"-"&amp;AH46</f>
        <v>-</v>
      </c>
      <c r="AF47" s="2286"/>
      <c r="AG47" s="2127"/>
      <c r="AH47" s="2308"/>
      <c r="AI47" s="2127"/>
      <c r="AJ47" s="1446"/>
      <c r="AK47" s="2369"/>
      <c r="AM47" s="507"/>
      <c r="AN47" s="507" t="str">
        <f>IF(T47="","",T47)</f>
        <v/>
      </c>
      <c r="AO47" s="507"/>
      <c r="AP47" s="507"/>
      <c r="AQ47" s="1162">
        <v>0</v>
      </c>
    </row>
    <row customHeight="1" ht="21">
      <c r="A48" s="1370" t="s">
        <v>270</v>
      </c>
      <c r="B48" s="1370" t="s">
        <v>271</v>
      </c>
      <c r="C48" s="1370" t="s">
        <v>272</v>
      </c>
      <c r="D48" s="1370" t="s">
        <v>520</v>
      </c>
      <c r="E48" s="2279"/>
      <c r="F48" s="2279"/>
      <c r="G48" s="2279"/>
      <c r="H48" s="2279"/>
      <c r="I48" s="2306"/>
      <c r="J48" s="2276"/>
      <c r="K48" s="1370"/>
      <c r="L48" s="1371"/>
      <c r="P48" s="2277"/>
      <c r="Q48" s="2277"/>
      <c r="R48" s="363"/>
      <c r="S48" s="1285"/>
      <c r="T48" s="294" t="s">
        <v>485</v>
      </c>
      <c r="U48" s="374"/>
      <c r="V48" s="374"/>
      <c r="W48" s="374"/>
      <c r="X48" s="374"/>
      <c r="Y48" s="374"/>
      <c r="Z48" s="374"/>
      <c r="AA48" s="374"/>
      <c r="AB48" s="374"/>
      <c r="AC48" s="374"/>
      <c r="AD48" s="374"/>
      <c r="AE48" s="374"/>
      <c r="AF48" s="374"/>
      <c r="AG48" s="374"/>
      <c r="AH48" s="374"/>
      <c r="AI48" s="374"/>
      <c r="AJ48" s="374"/>
      <c r="AK48" s="1265" t="s">
        <v>486</v>
      </c>
      <c r="AM48" s="507"/>
      <c r="AN48" s="507" t="str">
        <f>IF(T48="","",T48)</f>
        <v>Добавить значение признака дифференциации</v>
      </c>
      <c r="AO48" s="507"/>
      <c r="AP48" s="507"/>
      <c r="AQ48" s="1162">
        <v>20</v>
      </c>
    </row>
    <row customHeight="1" ht="22.049999999999997">
      <c r="A49" s="1370" t="s">
        <v>270</v>
      </c>
      <c r="B49" s="1370" t="s">
        <v>271</v>
      </c>
      <c r="C49" s="1370" t="s">
        <v>272</v>
      </c>
      <c r="D49" s="1370" t="s">
        <v>520</v>
      </c>
      <c r="E49" s="2279"/>
      <c r="F49" s="2279"/>
      <c r="G49" s="2279"/>
      <c r="H49" s="2279"/>
      <c r="I49" s="2276"/>
      <c r="J49" s="1370"/>
      <c r="K49" s="1370"/>
      <c r="L49" s="1371"/>
      <c r="P49" s="2277"/>
      <c r="Q49" s="1488"/>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270</v>
      </c>
      <c r="B50" s="1370" t="s">
        <v>271</v>
      </c>
      <c r="C50" s="1370" t="s">
        <v>272</v>
      </c>
      <c r="D50" s="1370" t="s">
        <v>520</v>
      </c>
      <c r="E50" s="2279"/>
      <c r="F50" s="2279"/>
      <c r="G50" s="2279"/>
      <c r="H50" s="2278"/>
      <c r="I50" s="1370"/>
      <c r="J50" s="1370"/>
      <c r="K50" s="1370"/>
      <c r="L50" s="1371"/>
      <c r="M50" s="1372"/>
      <c r="N50" s="1372"/>
      <c r="O50" s="544"/>
      <c r="P50" s="367"/>
      <c r="Q50" s="382"/>
      <c r="R50" s="362"/>
      <c r="S50" s="1285"/>
      <c r="T50" s="379" t="s">
        <v>487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270</v>
      </c>
      <c r="B51" s="1350" t="s">
        <v>271</v>
      </c>
      <c r="C51" s="1321"/>
      <c r="D51" s="1321"/>
      <c r="E51" s="2279"/>
      <c r="F51" s="2278"/>
      <c r="G51" s="1321"/>
      <c r="H51" s="1321"/>
      <c r="I51" s="1321"/>
      <c r="J51" s="1321"/>
      <c r="K51" s="1321"/>
      <c r="L51" s="1501"/>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270</v>
      </c>
      <c r="B52" s="1350"/>
      <c r="C52" s="1350"/>
      <c r="D52" s="1350"/>
      <c r="E52" s="2278"/>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05"/>
      <c r="U55" s="2305"/>
      <c r="V55" s="2305"/>
      <c r="W55" s="2305"/>
      <c r="X55" s="2305"/>
      <c r="Y55" s="2305"/>
      <c r="Z55" s="2305"/>
      <c r="AA55" s="2305"/>
      <c r="AB55" s="2305"/>
      <c r="AC55" s="2305"/>
      <c r="AD55" s="2305"/>
      <c r="AE55" s="2305"/>
      <c r="AF55" s="2305"/>
      <c r="AG55" s="2305"/>
      <c r="AH55" s="2305"/>
      <c r="AI55" s="2305"/>
      <c r="AJ55" s="2305"/>
      <c r="AK55" s="2305"/>
      <c r="AQ55" s="1162">
        <v>14</v>
      </c>
    </row>
    <row customHeight="1" ht="14.699999999999998">
      <c r="O56" s="544"/>
      <c r="AQ56" s="1162">
        <v>14</v>
      </c>
    </row>
    <row customHeight="1" ht="14.699999999999998">
      <c r="O57" s="544"/>
      <c r="S57" s="1260"/>
      <c r="T57" s="2305"/>
      <c r="U57" s="2305"/>
      <c r="V57" s="2305"/>
      <c r="W57" s="2305"/>
      <c r="X57" s="2305"/>
      <c r="Y57" s="2305"/>
      <c r="Z57" s="2305"/>
      <c r="AA57" s="2305"/>
      <c r="AB57" s="2305"/>
      <c r="AC57" s="2305"/>
      <c r="AD57" s="2305"/>
      <c r="AE57" s="2305"/>
      <c r="AF57" s="2305"/>
      <c r="AG57" s="2305"/>
      <c r="AH57" s="2305"/>
      <c r="AI57" s="2305"/>
      <c r="AJ57" s="2305"/>
      <c r="AK57" s="2305"/>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3F288-4D07-3373-2E6B-0.816A583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27"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27"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78">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79"/>
      <c r="F3" s="2278">
        <v>1</v>
      </c>
      <c r="G3" s="1370"/>
      <c r="H3" s="1370"/>
      <c r="I3" s="1370"/>
      <c r="J3" s="1370"/>
      <c r="K3" s="1370"/>
      <c r="L3" s="1371"/>
      <c r="M3" s="1372"/>
      <c r="N3" s="1372"/>
      <c r="O3" s="1372"/>
      <c r="P3" s="1417"/>
      <c r="Q3" s="1418"/>
      <c r="R3" s="360"/>
      <c r="S3" s="1500">
        <f>INDEX(PT_DIFFERENTIATION_NUM_TER,MATCH(B3,PT_DIFFERENTIATION_TER_ID,0))</f>
      </c>
      <c r="T3" s="315" t="s">
        <v>396</v>
      </c>
      <c r="U3" s="307"/>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65" t="s">
        <v>397</v>
      </c>
      <c r="BE3" s="507"/>
      <c r="BF3" s="507" t="str">
        <f>IF(T3="","",T3)</f>
        <v>Территория действия тарифа</v>
      </c>
      <c r="BG3" s="507"/>
      <c r="BH3" s="507"/>
      <c r="BI3" s="1162">
        <v>0</v>
      </c>
    </row>
    <row customHeight="1" ht="33.75" hidden="1">
      <c r="A4" s="1370"/>
      <c r="B4" s="1370"/>
      <c r="C4" s="1370"/>
      <c r="D4" s="1370"/>
      <c r="E4" s="2279"/>
      <c r="F4" s="2279"/>
      <c r="G4" s="2278">
        <v>1</v>
      </c>
      <c r="H4" s="1370"/>
      <c r="I4" s="1370"/>
      <c r="J4" s="1370"/>
      <c r="K4" s="1370"/>
      <c r="L4" s="1371"/>
      <c r="M4" s="1372"/>
      <c r="N4" s="1372"/>
      <c r="O4" s="1372"/>
      <c r="P4" s="1419"/>
      <c r="Q4" s="1418"/>
      <c r="R4" s="360"/>
      <c r="S4" s="1500">
        <f>INDEX(PT_DIFFERENTIATION_NUM_CS,MATCH(C4,PT_DIFFERENTIATION_CS_ID,0))</f>
      </c>
      <c r="T4" s="316" t="s">
        <v>515</v>
      </c>
      <c r="U4" s="307"/>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65" t="s">
        <v>516</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79"/>
      <c r="F5" s="2279"/>
      <c r="G5" s="2279"/>
      <c r="H5" s="2278">
        <v>1</v>
      </c>
      <c r="I5" s="1350"/>
      <c r="J5" s="1350"/>
      <c r="K5" s="1350"/>
      <c r="L5" s="1353"/>
      <c r="M5" s="1322"/>
      <c r="N5" s="1322"/>
      <c r="O5" s="1322"/>
      <c r="P5" s="1504"/>
      <c r="Q5" s="1505"/>
      <c r="R5" s="364"/>
      <c r="S5" s="1049"/>
      <c r="T5" s="1506"/>
      <c r="U5" s="1391"/>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92" t="s">
        <v>401</v>
      </c>
      <c r="BE5" s="507"/>
      <c r="BF5" s="507" t="str">
        <f>IF(T5="","",T5)</f>
        <v/>
      </c>
      <c r="BG5" s="507"/>
      <c r="BH5" s="507"/>
      <c r="BI5" s="518">
        <v>0</v>
      </c>
    </row>
    <row s="1649" customFormat="1" customHeight="1" ht="14.25" hidden="1">
      <c r="A6" s="1350"/>
      <c r="B6" s="1350"/>
      <c r="C6" s="1350"/>
      <c r="D6" s="1350"/>
      <c r="E6" s="2279"/>
      <c r="F6" s="2279"/>
      <c r="G6" s="2279"/>
      <c r="H6" s="2279"/>
      <c r="I6" s="2276" t="str">
        <f>S5&amp;".1"</f>
        <v>.1</v>
      </c>
      <c r="J6" s="1350"/>
      <c r="K6" s="1350"/>
      <c r="L6" s="1353" t="s">
        <v>402</v>
      </c>
      <c r="M6" s="517"/>
      <c r="N6" s="517"/>
      <c r="O6" s="517"/>
      <c r="P6" s="2277">
        <v>1</v>
      </c>
      <c r="Q6" s="1488"/>
      <c r="R6" s="363"/>
      <c r="S6" s="1049"/>
      <c r="T6" s="1390"/>
      <c r="U6" s="1391"/>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92"/>
      <c r="BE6" s="507"/>
      <c r="BF6" s="507" t="str">
        <f>IF(T6="","",T6)</f>
        <v/>
      </c>
      <c r="BG6" s="507"/>
      <c r="BH6" s="507"/>
      <c r="BI6" s="518">
        <v>0</v>
      </c>
    </row>
    <row s="1649" customFormat="1" customHeight="1" ht="14.25" hidden="1">
      <c r="A7" s="1350"/>
      <c r="B7" s="1350"/>
      <c r="C7" s="1350"/>
      <c r="D7" s="1350"/>
      <c r="E7" s="2279"/>
      <c r="F7" s="2279"/>
      <c r="G7" s="2279"/>
      <c r="H7" s="2279"/>
      <c r="I7" s="2306"/>
      <c r="J7" s="2276" t="str">
        <f>S5&amp;".1"</f>
        <v>.1</v>
      </c>
      <c r="K7" s="1350"/>
      <c r="L7" s="1353"/>
      <c r="M7" s="517"/>
      <c r="N7" s="517"/>
      <c r="O7" s="517"/>
      <c r="P7" s="2277"/>
      <c r="Q7" s="2277">
        <v>1</v>
      </c>
      <c r="R7" s="364"/>
      <c r="S7" s="1049"/>
      <c r="T7" s="1406"/>
      <c r="U7" s="1391"/>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92"/>
      <c r="BE7" s="507"/>
      <c r="BF7" s="507" t="str">
        <f>IF(T7="","",T7)</f>
        <v/>
      </c>
      <c r="BG7" s="507"/>
      <c r="BH7" s="507"/>
      <c r="BI7" s="518">
        <v>0</v>
      </c>
    </row>
    <row customHeight="1" ht="11.25" hidden="1">
      <c r="A8" s="1370"/>
      <c r="B8" s="1370"/>
      <c r="C8" s="1370"/>
      <c r="D8" s="1370"/>
      <c r="E8" s="2279"/>
      <c r="F8" s="2279"/>
      <c r="G8" s="2279"/>
      <c r="H8" s="2279"/>
      <c r="I8" s="2306"/>
      <c r="J8" s="2306"/>
      <c r="K8" s="2276">
        <f>S4&amp;".1"</f>
      </c>
      <c r="L8" s="1371"/>
      <c r="P8" s="2277"/>
      <c r="Q8" s="2277"/>
      <c r="R8" s="2367">
        <v>1</v>
      </c>
      <c r="S8" s="2361">
        <f>$K8</f>
      </c>
      <c r="T8" s="2380"/>
      <c r="U8" s="307"/>
      <c r="V8" s="758"/>
      <c r="W8" s="1264"/>
      <c r="X8" s="758"/>
      <c r="Y8" s="1264"/>
      <c r="Z8" s="1740"/>
      <c r="AA8" s="1476" t="s">
        <v>61</v>
      </c>
      <c r="AB8" s="1740"/>
      <c r="AC8" s="1476" t="s">
        <v>61</v>
      </c>
      <c r="AD8" s="2205" t="s">
        <v>61</v>
      </c>
      <c r="AE8" s="2346"/>
      <c r="AF8" s="2225">
        <v>1</v>
      </c>
      <c r="AG8" s="2383"/>
      <c r="AH8" s="2127" t="s">
        <v>61</v>
      </c>
      <c r="AI8" s="2346"/>
      <c r="AJ8" s="2225">
        <v>1</v>
      </c>
      <c r="AK8" s="2347" t="s">
        <v>22</v>
      </c>
      <c r="AL8" s="2127" t="s">
        <v>61</v>
      </c>
      <c r="AM8" s="2212"/>
      <c r="AN8" s="2225">
        <v>1</v>
      </c>
      <c r="AO8" s="2377"/>
      <c r="AP8" s="2378" t="s">
        <v>61</v>
      </c>
      <c r="AQ8" s="318"/>
      <c r="AR8" s="1493">
        <v>1</v>
      </c>
      <c r="AS8" s="1499" t="s">
        <v>22</v>
      </c>
      <c r="AT8" s="758"/>
      <c r="AU8" s="1264"/>
      <c r="AV8" s="758"/>
      <c r="AW8" s="1264"/>
      <c r="AX8" s="1740"/>
      <c r="AY8" s="1476" t="s">
        <v>61</v>
      </c>
      <c r="AZ8" s="1740"/>
      <c r="BA8" s="1476" t="s">
        <v>61</v>
      </c>
      <c r="BB8" s="1355"/>
      <c r="BC8" s="2273" t="s">
        <v>500</v>
      </c>
      <c r="BE8" s="507"/>
      <c r="BF8" s="507" t="str">
        <f>IF(T8="","",T8)</f>
        <v/>
      </c>
      <c r="BG8" s="507"/>
      <c r="BH8" s="507"/>
      <c r="BI8" s="1162">
        <v>0</v>
      </c>
    </row>
    <row customHeight="1" ht="11.25" hidden="1">
      <c r="A9" s="1370"/>
      <c r="B9" s="1370"/>
      <c r="C9" s="1370"/>
      <c r="D9" s="1370"/>
      <c r="E9" s="2279"/>
      <c r="F9" s="2279"/>
      <c r="G9" s="2279"/>
      <c r="H9" s="2279"/>
      <c r="I9" s="2306"/>
      <c r="J9" s="2306"/>
      <c r="K9" s="2276"/>
      <c r="L9" s="1371"/>
      <c r="P9" s="2277"/>
      <c r="Q9" s="2277"/>
      <c r="R9" s="2367"/>
      <c r="S9" s="2362"/>
      <c r="T9" s="2381"/>
      <c r="U9" s="307"/>
      <c r="V9" s="1400"/>
      <c r="W9" s="1503"/>
      <c r="X9" s="1400"/>
      <c r="Y9" s="1503"/>
      <c r="Z9" s="1400"/>
      <c r="AA9" s="1400"/>
      <c r="AB9" s="1400"/>
      <c r="AC9" s="1400"/>
      <c r="AD9" s="2206"/>
      <c r="AE9" s="2346"/>
      <c r="AF9" s="2225"/>
      <c r="AG9" s="2383"/>
      <c r="AH9" s="2127"/>
      <c r="AI9" s="2346"/>
      <c r="AJ9" s="2225"/>
      <c r="AK9" s="2347"/>
      <c r="AL9" s="2127"/>
      <c r="AM9" s="2220"/>
      <c r="AN9" s="2225"/>
      <c r="AO9" s="2377"/>
      <c r="AP9" s="2379"/>
      <c r="AQ9" s="323"/>
      <c r="AR9" s="423"/>
      <c r="AS9" s="423" t="s">
        <v>501</v>
      </c>
      <c r="AT9" s="1400"/>
      <c r="AU9" s="1503"/>
      <c r="AV9" s="1400"/>
      <c r="AW9" s="1503"/>
      <c r="AX9" s="1400"/>
      <c r="AY9" s="1400"/>
      <c r="AZ9" s="1400"/>
      <c r="BA9" s="1400"/>
      <c r="BB9" s="1404"/>
      <c r="BC9" s="2274"/>
      <c r="BE9" s="507"/>
      <c r="BF9" s="507"/>
      <c r="BG9" s="507"/>
      <c r="BH9" s="507"/>
      <c r="BI9" s="1162">
        <v>0</v>
      </c>
    </row>
    <row customHeight="1" ht="11.25" hidden="1">
      <c r="A10" s="1370"/>
      <c r="B10" s="1370"/>
      <c r="C10" s="1370"/>
      <c r="D10" s="1370"/>
      <c r="E10" s="2279"/>
      <c r="F10" s="2279"/>
      <c r="G10" s="2279"/>
      <c r="H10" s="2279"/>
      <c r="I10" s="2306"/>
      <c r="J10" s="2306"/>
      <c r="K10" s="2276"/>
      <c r="L10" s="1371"/>
      <c r="P10" s="2277"/>
      <c r="Q10" s="2277"/>
      <c r="R10" s="2367"/>
      <c r="S10" s="2362"/>
      <c r="T10" s="2381"/>
      <c r="U10" s="307"/>
      <c r="V10" s="1400"/>
      <c r="W10" s="1503"/>
      <c r="X10" s="1400"/>
      <c r="Y10" s="1503"/>
      <c r="Z10" s="1400"/>
      <c r="AA10" s="1400"/>
      <c r="AB10" s="1400"/>
      <c r="AC10" s="1400"/>
      <c r="AD10" s="2206"/>
      <c r="AE10" s="2346"/>
      <c r="AF10" s="2225"/>
      <c r="AG10" s="2383"/>
      <c r="AH10" s="2127"/>
      <c r="AI10" s="2346"/>
      <c r="AJ10" s="2225"/>
      <c r="AK10" s="2347"/>
      <c r="AL10" s="2127"/>
      <c r="AM10" s="323"/>
      <c r="AN10" s="1507"/>
      <c r="AO10" s="1507" t="s">
        <v>521</v>
      </c>
      <c r="AP10" s="423"/>
      <c r="AQ10" s="423"/>
      <c r="AR10" s="423"/>
      <c r="AS10" s="1400"/>
      <c r="AT10" s="1400"/>
      <c r="AU10" s="1503"/>
      <c r="AV10" s="1400"/>
      <c r="AW10" s="1503"/>
      <c r="AX10" s="1400"/>
      <c r="AY10" s="1400"/>
      <c r="AZ10" s="1400"/>
      <c r="BA10" s="1400"/>
      <c r="BB10" s="1404"/>
      <c r="BC10" s="2274"/>
      <c r="BE10" s="507"/>
      <c r="BF10" s="507"/>
      <c r="BG10" s="507"/>
      <c r="BH10" s="507"/>
      <c r="BI10" s="1162">
        <v>0</v>
      </c>
    </row>
    <row customHeight="1" ht="11.25" hidden="1">
      <c r="A11" s="1370"/>
      <c r="B11" s="1370"/>
      <c r="C11" s="1370"/>
      <c r="D11" s="1370"/>
      <c r="E11" s="2279"/>
      <c r="F11" s="2279"/>
      <c r="G11" s="2279"/>
      <c r="H11" s="2279"/>
      <c r="I11" s="2306"/>
      <c r="J11" s="2306"/>
      <c r="K11" s="2276"/>
      <c r="L11" s="1371"/>
      <c r="P11" s="2277"/>
      <c r="Q11" s="2277"/>
      <c r="R11" s="2367"/>
      <c r="S11" s="2362"/>
      <c r="T11" s="2381"/>
      <c r="U11" s="307"/>
      <c r="V11" s="1400"/>
      <c r="W11" s="1503"/>
      <c r="X11" s="1400"/>
      <c r="Y11" s="1503"/>
      <c r="Z11" s="1400"/>
      <c r="AA11" s="1400"/>
      <c r="AB11" s="1400"/>
      <c r="AC11" s="1400"/>
      <c r="AD11" s="2206"/>
      <c r="AE11" s="2346"/>
      <c r="AF11" s="2225"/>
      <c r="AG11" s="2383"/>
      <c r="AH11" s="2127"/>
      <c r="AI11" s="301"/>
      <c r="AJ11" s="422"/>
      <c r="AK11" s="320" t="s">
        <v>522</v>
      </c>
      <c r="AL11" s="1400"/>
      <c r="AM11" s="1400"/>
      <c r="AN11" s="1400"/>
      <c r="AO11" s="1400"/>
      <c r="AP11" s="1400"/>
      <c r="AQ11" s="1400"/>
      <c r="AR11" s="1400"/>
      <c r="AS11" s="1400"/>
      <c r="AT11" s="1400"/>
      <c r="AU11" s="1503"/>
      <c r="AV11" s="1400"/>
      <c r="AW11" s="1503"/>
      <c r="AX11" s="1400"/>
      <c r="AY11" s="1400"/>
      <c r="AZ11" s="1400"/>
      <c r="BA11" s="1400"/>
      <c r="BB11" s="1404"/>
      <c r="BC11" s="2274"/>
      <c r="BE11" s="507"/>
      <c r="BF11" s="507"/>
      <c r="BG11" s="507"/>
      <c r="BH11" s="507"/>
      <c r="BI11" s="1162">
        <v>0</v>
      </c>
    </row>
    <row customHeight="1" ht="11.25" hidden="1">
      <c r="A12" s="1370"/>
      <c r="B12" s="1370"/>
      <c r="C12" s="1370"/>
      <c r="D12" s="1370"/>
      <c r="E12" s="2279"/>
      <c r="F12" s="2279"/>
      <c r="G12" s="2279"/>
      <c r="H12" s="2279"/>
      <c r="I12" s="2306"/>
      <c r="J12" s="2306"/>
      <c r="K12" s="2276"/>
      <c r="L12" s="1371"/>
      <c r="P12" s="2277"/>
      <c r="Q12" s="2277"/>
      <c r="R12" s="2367"/>
      <c r="S12" s="2363"/>
      <c r="T12" s="2382"/>
      <c r="U12" s="307"/>
      <c r="V12" s="1400"/>
      <c r="W12" s="1401" t="str">
        <f>Z8&amp;"-"&amp;AB8</f>
        <v>-</v>
      </c>
      <c r="X12" s="1400"/>
      <c r="Y12" s="1401" t="str">
        <f>AB8&amp;"-"&amp;AD8</f>
        <v>-да</v>
      </c>
      <c r="Z12" s="1400"/>
      <c r="AA12" s="1400"/>
      <c r="AB12" s="1400"/>
      <c r="AC12" s="1400"/>
      <c r="AD12" s="2132"/>
      <c r="AE12" s="319"/>
      <c r="AF12" s="321"/>
      <c r="AG12" s="423" t="s">
        <v>504</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74"/>
      <c r="BE12" s="507"/>
      <c r="BF12" s="507" t="str">
        <f>IF(T12="","",T12)</f>
        <v/>
      </c>
      <c r="BG12" s="507"/>
      <c r="BH12" s="507"/>
      <c r="BI12" s="1162">
        <v>0</v>
      </c>
    </row>
    <row customHeight="1" ht="11.25" hidden="1">
      <c r="A13" s="1370"/>
      <c r="B13" s="1370"/>
      <c r="C13" s="1370"/>
      <c r="D13" s="1370"/>
      <c r="E13" s="2279"/>
      <c r="F13" s="2279"/>
      <c r="G13" s="2279"/>
      <c r="H13" s="2279"/>
      <c r="I13" s="2306"/>
      <c r="J13" s="2276"/>
      <c r="K13" s="1370"/>
      <c r="L13" s="1371"/>
      <c r="P13" s="2277"/>
      <c r="Q13" s="2277"/>
      <c r="R13" s="363"/>
      <c r="S13" s="1285"/>
      <c r="T13" s="294" t="s">
        <v>467</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75"/>
      <c r="BE13" s="507"/>
      <c r="BF13" s="507" t="str">
        <f>IF(T13="","",T13)</f>
        <v>Добавить строку</v>
      </c>
      <c r="BG13" s="507"/>
      <c r="BH13" s="507"/>
      <c r="BI13" s="1162">
        <v>0</v>
      </c>
    </row>
    <row s="1649" customFormat="1" customHeight="1" ht="14.25" hidden="1">
      <c r="A14" s="1350"/>
      <c r="B14" s="1350"/>
      <c r="C14" s="1350"/>
      <c r="D14" s="1350"/>
      <c r="E14" s="2279"/>
      <c r="F14" s="2279"/>
      <c r="G14" s="2279"/>
      <c r="H14" s="2279"/>
      <c r="I14" s="2276"/>
      <c r="J14" s="1350"/>
      <c r="K14" s="1350"/>
      <c r="L14" s="1353"/>
      <c r="M14" s="517"/>
      <c r="N14" s="517"/>
      <c r="O14" s="517"/>
      <c r="P14" s="2277"/>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79"/>
      <c r="F15" s="2279"/>
      <c r="G15" s="2279"/>
      <c r="H15" s="2278"/>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79"/>
      <c r="F16" s="2279"/>
      <c r="G16" s="2278"/>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79"/>
      <c r="F17" s="2278"/>
      <c r="G17" s="1321"/>
      <c r="H17" s="1321"/>
      <c r="I17" s="1321"/>
      <c r="J17" s="1321"/>
      <c r="K17" s="1321"/>
      <c r="L17" s="150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78"/>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92" t="s">
        <v>61</v>
      </c>
      <c r="AZ20" s="1742"/>
      <c r="BA20" s="1492" t="s">
        <v>61</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468</v>
      </c>
      <c r="AH24" s="1514" t="s">
        <v>468</v>
      </c>
      <c r="AK24" s="1514" t="s">
        <v>505</v>
      </c>
      <c r="AL24" s="1514" t="s">
        <v>468</v>
      </c>
      <c r="AP24" s="1514" t="s">
        <v>468</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6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50"/>
      <c r="BI28" s="1162">
        <v>14</v>
      </c>
    </row>
    <row customHeight="1" ht="14.699999999999998">
      <c r="Q29" s="298"/>
      <c r="R29" s="383"/>
      <c r="S29" s="2269" t="str">
        <f>IF(org=0,"Не определено",org)</f>
        <v>ИМУП «ПОСЖИЛКОМСЕРВИС»</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0" t="s">
        <v>41</v>
      </c>
      <c r="T31" s="2270"/>
      <c r="U31" s="1379"/>
      <c r="V31" s="2271" t="str">
        <f>IF(TITLE_NAME_OR_PR_CHANGE="",IF(TITLE_NAME_OR_PR="","",TITLE_NAME_OR_PR),TITLE_NAME_OR_PR_CHANGE)</f>
        <v/>
      </c>
      <c r="W31" s="2271"/>
      <c r="X31" s="2271"/>
      <c r="Y31" s="2271"/>
      <c r="Z31" s="2271"/>
      <c r="AA31" s="2271"/>
      <c r="AB31" s="2271"/>
      <c r="AC31" s="333"/>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0" t="s">
        <v>422</v>
      </c>
      <c r="T32" s="2270"/>
      <c r="U32" s="1379"/>
      <c r="V32" s="2284" t="str">
        <f>IF(TITLE_DATE_PR_CHANGE="",IF(TITLE_DATE_PR="","",TITLE_DATE_PR),TITLE_DATE_PR_CHANGE)</f>
        <v/>
      </c>
      <c r="W32" s="2284"/>
      <c r="X32" s="2284"/>
      <c r="Y32" s="2284"/>
      <c r="Z32" s="2284"/>
      <c r="AA32" s="2284"/>
      <c r="AB32" s="2284"/>
      <c r="AC32" s="333"/>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0" t="s">
        <v>423</v>
      </c>
      <c r="T33" s="2270"/>
      <c r="U33" s="1379"/>
      <c r="V33" s="2271" t="str">
        <f>IF(TITLE_NUMBER_PR_CHANGE="",IF(TITLE_NUMBER_PR="","",TITLE_NUMBER_PR),TITLE_NUMBER_PR_CHANGE)</f>
        <v/>
      </c>
      <c r="W33" s="2271"/>
      <c r="X33" s="2271"/>
      <c r="Y33" s="2271"/>
      <c r="Z33" s="2271"/>
      <c r="AA33" s="2271"/>
      <c r="AB33" s="2271"/>
      <c r="AC33" s="333"/>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0" t="s">
        <v>42</v>
      </c>
      <c r="T34" s="2270"/>
      <c r="U34" s="1379"/>
      <c r="V34" s="2271" t="str">
        <f>IF(TITLE_IST_PUB_CHANGE="",IF(TITLE_IST_PUB="","",TITLE_IST_PUB),TITLE_IST_PUB_CHANGE)</f>
        <v/>
      </c>
      <c r="W34" s="2271"/>
      <c r="X34" s="2271"/>
      <c r="Y34" s="2271"/>
      <c r="Z34" s="2271"/>
      <c r="AA34" s="2271"/>
      <c r="AB34" s="2271"/>
      <c r="AC34" s="333"/>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0" t="s">
        <v>422</v>
      </c>
      <c r="T36" s="2270"/>
      <c r="U36" s="1379"/>
      <c r="V36" s="2284" t="str">
        <f>IF(TITLE_DATE_PR_CHANGE="",IF(TITLE_DATE_PR="","",TITLE_DATE_PR),TITLE_DATE_PR_CHANGE)</f>
        <v/>
      </c>
      <c r="W36" s="2284"/>
      <c r="X36" s="2284"/>
      <c r="Y36" s="2284"/>
      <c r="Z36" s="2284"/>
      <c r="AA36" s="2284"/>
      <c r="AB36" s="2284"/>
      <c r="AC36" s="333"/>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0" t="s">
        <v>423</v>
      </c>
      <c r="T37" s="2270"/>
      <c r="U37" s="1379"/>
      <c r="V37" s="2271" t="str">
        <f>IF(TITLE_NUMBER_PR_CHANGE="",IF(TITLE_NUMBER_PR="","",TITLE_NUMBER_PR),TITLE_NUMBER_PR_CHANGE)</f>
        <v/>
      </c>
      <c r="W37" s="2271"/>
      <c r="X37" s="2271"/>
      <c r="Y37" s="2271"/>
      <c r="Z37" s="2271"/>
      <c r="AA37" s="2271"/>
      <c r="AB37" s="2271"/>
      <c r="AC37" s="333"/>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426</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426</v>
      </c>
      <c r="BD38" s="375"/>
      <c r="BE38" s="375"/>
      <c r="BF38" s="375"/>
      <c r="BG38" s="375"/>
      <c r="BH38" s="375"/>
      <c r="BI38" s="425">
        <v>0</v>
      </c>
    </row>
    <row customHeight="1" ht="14.699999999999998">
      <c r="Q39" s="298"/>
      <c r="R39" s="383"/>
      <c r="S39" s="1282"/>
      <c r="T39" s="370"/>
      <c r="U39" s="1251"/>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62">
        <v>14</v>
      </c>
    </row>
    <row customHeight="1" ht="14.699999999999998">
      <c r="Q40" s="298"/>
      <c r="R40" s="383"/>
      <c r="S40" s="2147" t="s">
        <v>299</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300</v>
      </c>
      <c r="BI40" s="1162">
        <v>14</v>
      </c>
    </row>
    <row customHeight="1" ht="14.699999999999998">
      <c r="Q41" s="298"/>
      <c r="R41" s="383"/>
      <c r="S41" s="2293" t="s">
        <v>87</v>
      </c>
      <c r="T41" s="2229" t="s">
        <v>506</v>
      </c>
      <c r="U41" s="308"/>
      <c r="V41" s="2294" t="s">
        <v>428</v>
      </c>
      <c r="W41" s="2295"/>
      <c r="X41" s="2295"/>
      <c r="Y41" s="2295"/>
      <c r="Z41" s="2295"/>
      <c r="AA41" s="2295"/>
      <c r="AB41" s="2296"/>
      <c r="AC41" s="2297" t="s">
        <v>429</v>
      </c>
      <c r="AD41" s="2348" t="s">
        <v>523</v>
      </c>
      <c r="AE41" s="2311"/>
      <c r="AF41" s="2311"/>
      <c r="AG41" s="2349"/>
      <c r="AH41" s="2348" t="s">
        <v>524</v>
      </c>
      <c r="AI41" s="2311"/>
      <c r="AJ41" s="2311"/>
      <c r="AK41" s="2349"/>
      <c r="AL41" s="2348" t="s">
        <v>525</v>
      </c>
      <c r="AM41" s="2311"/>
      <c r="AN41" s="2311"/>
      <c r="AO41" s="2349"/>
      <c r="AP41" s="2348" t="s">
        <v>510</v>
      </c>
      <c r="AQ41" s="2311"/>
      <c r="AR41" s="2311"/>
      <c r="AS41" s="2349"/>
      <c r="AT41" s="2294" t="s">
        <v>428</v>
      </c>
      <c r="AU41" s="2295"/>
      <c r="AV41" s="2295"/>
      <c r="AW41" s="2295"/>
      <c r="AX41" s="2295"/>
      <c r="AY41" s="2295"/>
      <c r="AZ41" s="2296"/>
      <c r="BA41" s="2297" t="s">
        <v>429</v>
      </c>
      <c r="BB41" s="2300" t="s">
        <v>431</v>
      </c>
      <c r="BC41" s="2147"/>
      <c r="BI41" s="1162">
        <v>14</v>
      </c>
    </row>
    <row customHeight="1" ht="35.699999999999996">
      <c r="Q42" s="298"/>
      <c r="R42" s="383"/>
      <c r="S42" s="2293"/>
      <c r="T42" s="2229"/>
      <c r="U42" s="1038"/>
      <c r="V42" s="2212" t="s">
        <v>511</v>
      </c>
      <c r="W42" s="2213"/>
      <c r="X42" s="2212" t="s">
        <v>512</v>
      </c>
      <c r="Y42" s="2213"/>
      <c r="Z42" s="2314" t="s">
        <v>513</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526</v>
      </c>
      <c r="AU42" s="2213"/>
      <c r="AV42" s="2212" t="s">
        <v>527</v>
      </c>
      <c r="AW42" s="2213"/>
      <c r="AX42" s="2314" t="s">
        <v>513</v>
      </c>
      <c r="AY42" s="2333"/>
      <c r="AZ42" s="2334"/>
      <c r="BA42" s="2298"/>
      <c r="BB42" s="2301"/>
      <c r="BC42" s="2147"/>
      <c r="BI42" s="1162">
        <v>34</v>
      </c>
    </row>
    <row customHeight="1" ht="14.699999999999998">
      <c r="Q43" s="298"/>
      <c r="R43" s="383"/>
      <c r="S43" s="2293"/>
      <c r="T43" s="2229"/>
      <c r="U43" s="1038"/>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62">
        <v>14</v>
      </c>
    </row>
    <row customHeight="1" ht="14.699999999999998">
      <c r="A44" s="1377"/>
      <c r="B44" s="1377" t="s">
        <v>136</v>
      </c>
      <c r="C44" s="1377" t="s">
        <v>137</v>
      </c>
      <c r="D44" s="1377" t="s">
        <v>138</v>
      </c>
      <c r="E44" s="1371" t="s">
        <v>436</v>
      </c>
      <c r="F44" s="1371" t="s">
        <v>437</v>
      </c>
      <c r="G44" s="1371" t="s">
        <v>438</v>
      </c>
      <c r="H44" s="1371" t="s">
        <v>439</v>
      </c>
      <c r="I44" s="1371" t="s">
        <v>440</v>
      </c>
      <c r="J44" s="1371" t="s">
        <v>441</v>
      </c>
      <c r="K44" s="1371" t="s">
        <v>442</v>
      </c>
      <c r="L44" s="1371" t="s">
        <v>417</v>
      </c>
      <c r="Q44" s="298"/>
      <c r="R44" s="383"/>
      <c r="S44" s="2293"/>
      <c r="T44" s="2229"/>
      <c r="U44" s="309"/>
      <c r="V44" s="1486" t="s">
        <v>477</v>
      </c>
      <c r="W44" s="1486" t="s">
        <v>478</v>
      </c>
      <c r="X44" s="1486" t="s">
        <v>477</v>
      </c>
      <c r="Y44" s="1486" t="s">
        <v>478</v>
      </c>
      <c r="Z44" s="1496" t="s">
        <v>445</v>
      </c>
      <c r="AA44" s="2290" t="s">
        <v>446</v>
      </c>
      <c r="AB44" s="2291"/>
      <c r="AC44" s="2299"/>
      <c r="AD44" s="2353"/>
      <c r="AE44" s="2354"/>
      <c r="AF44" s="2354"/>
      <c r="AG44" s="2355"/>
      <c r="AH44" s="2353"/>
      <c r="AI44" s="2354"/>
      <c r="AJ44" s="2354"/>
      <c r="AK44" s="2355"/>
      <c r="AL44" s="2353"/>
      <c r="AM44" s="2354"/>
      <c r="AN44" s="2354"/>
      <c r="AO44" s="2355"/>
      <c r="AP44" s="2353"/>
      <c r="AQ44" s="2354"/>
      <c r="AR44" s="2354"/>
      <c r="AS44" s="2355"/>
      <c r="AT44" s="1486" t="s">
        <v>477</v>
      </c>
      <c r="AU44" s="1486" t="s">
        <v>478</v>
      </c>
      <c r="AV44" s="1486" t="s">
        <v>477</v>
      </c>
      <c r="AW44" s="1486" t="s">
        <v>478</v>
      </c>
      <c r="AX44" s="1496" t="s">
        <v>445</v>
      </c>
      <c r="AY44" s="2290" t="s">
        <v>446</v>
      </c>
      <c r="AZ44" s="2291"/>
      <c r="BA44" s="2299"/>
      <c r="BB44" s="2302"/>
      <c r="BC44" s="2147"/>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89">
        <f>OFFSET(V45,0,-1)+1</f>
        <v>3</v>
      </c>
      <c r="W45" s="1489">
        <f>OFFSET(W45,0,-1)+1</f>
        <v>4</v>
      </c>
      <c r="X45" s="1489">
        <f>OFFSET(X45,0,-1)+1</f>
        <v>5</v>
      </c>
      <c r="Y45" s="1489">
        <f>OFFSET(Y45,0,-1)+1</f>
        <v>6</v>
      </c>
      <c r="Z45" s="1489">
        <f>OFFSET(Z45,0,-1)+1</f>
        <v>7</v>
      </c>
      <c r="AA45" s="2292">
        <f>OFFSET(AA45,0,-1)+1</f>
        <v>8</v>
      </c>
      <c r="AB45" s="2292"/>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92">
        <f>OFFSET(AY45,0,-1)+1</f>
        <v>3</v>
      </c>
      <c r="AZ45" s="2292"/>
      <c r="BA45" s="1489">
        <f>OFFSET(BA45,0,-2)+1</f>
        <v>4</v>
      </c>
      <c r="BB45" s="1252">
        <f>OFFSET(BB45,0,-1)</f>
        <v>4</v>
      </c>
      <c r="BC45" s="1489">
        <f>OFFSET(BC45,0,-1)+1</f>
        <v>5</v>
      </c>
      <c r="BD45" s="518"/>
      <c r="BE45" s="518"/>
      <c r="BF45" s="518"/>
      <c r="BG45" s="518"/>
      <c r="BH45" s="518"/>
      <c r="BI45" s="503">
        <v>0</v>
      </c>
    </row>
    <row customHeight="1" ht="22.049999999999997">
      <c r="A46" s="1370" t="s">
        <v>275</v>
      </c>
      <c r="B46" s="1370"/>
      <c r="C46" s="1370"/>
      <c r="D46" s="1370"/>
      <c r="E46" s="2278">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275</v>
      </c>
      <c r="B47" s="1370" t="s">
        <v>276</v>
      </c>
      <c r="C47" s="1370"/>
      <c r="D47" s="1370"/>
      <c r="E47" s="2279"/>
      <c r="F47" s="2278">
        <v>1</v>
      </c>
      <c r="G47" s="1370"/>
      <c r="H47" s="1370"/>
      <c r="I47" s="1370"/>
      <c r="J47" s="1370"/>
      <c r="K47" s="1370"/>
      <c r="L47" s="1371"/>
      <c r="M47" s="1372"/>
      <c r="N47" s="1372"/>
      <c r="O47" s="1372"/>
      <c r="P47" s="1417"/>
      <c r="Q47" s="1418"/>
      <c r="R47" s="360"/>
      <c r="S47" s="1500" t="str">
        <f>INDEX(PT_DIFFERENTIATION_NUM_TER,MATCH(B47,PT_DIFFERENTIATION_TER_ID,0))</f>
        <v>.</v>
      </c>
      <c r="T47" s="315" t="s">
        <v>396</v>
      </c>
      <c r="U47" s="307"/>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65" t="s">
        <v>397</v>
      </c>
      <c r="BE47" s="507"/>
      <c r="BF47" s="507" t="str">
        <f>IF(T47="","",T47)</f>
        <v>Территория действия тарифа</v>
      </c>
      <c r="BG47" s="507"/>
      <c r="BH47" s="507"/>
      <c r="BI47" s="1162">
        <v>21</v>
      </c>
    </row>
    <row customHeight="1" ht="35.699999999999996">
      <c r="A48" s="1370" t="s">
        <v>275</v>
      </c>
      <c r="B48" s="1370" t="s">
        <v>276</v>
      </c>
      <c r="C48" s="1370" t="s">
        <v>277</v>
      </c>
      <c r="D48" s="1370"/>
      <c r="E48" s="2279"/>
      <c r="F48" s="2279"/>
      <c r="G48" s="2278">
        <v>1</v>
      </c>
      <c r="H48" s="1370"/>
      <c r="I48" s="1370"/>
      <c r="J48" s="1370"/>
      <c r="K48" s="1370"/>
      <c r="L48" s="1371"/>
      <c r="M48" s="1372"/>
      <c r="N48" s="1372"/>
      <c r="O48" s="1372"/>
      <c r="P48" s="1419"/>
      <c r="Q48" s="1418"/>
      <c r="R48" s="360"/>
      <c r="S48" s="1500" t="str">
        <f>INDEX(PT_DIFFERENTIATION_NUM_CS,MATCH(C48,PT_DIFFERENTIATION_CS_ID,0))</f>
        <v>..</v>
      </c>
      <c r="T48" s="316" t="s">
        <v>515</v>
      </c>
      <c r="U48" s="307"/>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65" t="s">
        <v>516</v>
      </c>
      <c r="BE48" s="507"/>
      <c r="BF48" s="507" t="str">
        <f>IF(T48="","",T48)</f>
        <v>Наименование централизованной системы водоотведения</v>
      </c>
      <c r="BG48" s="507"/>
      <c r="BH48" s="507"/>
      <c r="BI48" s="1162">
        <v>34</v>
      </c>
    </row>
    <row s="1649" customFormat="1" customHeight="1" ht="0">
      <c r="A49" s="1350" t="s">
        <v>275</v>
      </c>
      <c r="B49" s="1350" t="s">
        <v>276</v>
      </c>
      <c r="C49" s="1350" t="s">
        <v>277</v>
      </c>
      <c r="D49" s="1350" t="s">
        <v>528</v>
      </c>
      <c r="E49" s="2279"/>
      <c r="F49" s="2279"/>
      <c r="G49" s="2279"/>
      <c r="H49" s="2278">
        <v>1</v>
      </c>
      <c r="I49" s="1350"/>
      <c r="J49" s="1350"/>
      <c r="K49" s="1350"/>
      <c r="L49" s="1353"/>
      <c r="M49" s="1322"/>
      <c r="N49" s="1322"/>
      <c r="O49" s="1322"/>
      <c r="P49" s="1504"/>
      <c r="Q49" s="1505"/>
      <c r="R49" s="364"/>
      <c r="S49" s="1049"/>
      <c r="T49" s="1506"/>
      <c r="U49" s="1391"/>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92" t="s">
        <v>401</v>
      </c>
      <c r="BE49" s="507"/>
      <c r="BF49" s="507" t="str">
        <f>IF(T49="","",T49)</f>
        <v/>
      </c>
      <c r="BG49" s="507"/>
      <c r="BH49" s="507"/>
      <c r="BI49" s="518">
        <v>0</v>
      </c>
    </row>
    <row s="1649" customFormat="1" customHeight="1" ht="0">
      <c r="A50" s="1350" t="s">
        <v>275</v>
      </c>
      <c r="B50" s="1350" t="s">
        <v>276</v>
      </c>
      <c r="C50" s="1350" t="s">
        <v>277</v>
      </c>
      <c r="D50" s="1350" t="s">
        <v>528</v>
      </c>
      <c r="E50" s="2279"/>
      <c r="F50" s="2279"/>
      <c r="G50" s="2279"/>
      <c r="H50" s="2279"/>
      <c r="I50" s="2276" t="str">
        <f>S49&amp;".1"</f>
        <v>.1</v>
      </c>
      <c r="J50" s="1350"/>
      <c r="K50" s="1350"/>
      <c r="L50" s="1353" t="s">
        <v>402</v>
      </c>
      <c r="M50" s="517"/>
      <c r="N50" s="517"/>
      <c r="O50" s="517"/>
      <c r="P50" s="2277">
        <v>1</v>
      </c>
      <c r="Q50" s="1488"/>
      <c r="R50" s="363"/>
      <c r="S50" s="1049"/>
      <c r="T50" s="1390"/>
      <c r="U50" s="1391"/>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92"/>
      <c r="BE50" s="507"/>
      <c r="BF50" s="507" t="str">
        <f>IF(T50="","",T50)</f>
        <v/>
      </c>
      <c r="BG50" s="507"/>
      <c r="BH50" s="507"/>
      <c r="BI50" s="518">
        <v>0</v>
      </c>
    </row>
    <row s="1649" customFormat="1" customHeight="1" ht="0">
      <c r="A51" s="1350" t="s">
        <v>275</v>
      </c>
      <c r="B51" s="1350" t="s">
        <v>276</v>
      </c>
      <c r="C51" s="1350" t="s">
        <v>277</v>
      </c>
      <c r="D51" s="1350" t="s">
        <v>528</v>
      </c>
      <c r="E51" s="2279"/>
      <c r="F51" s="2279"/>
      <c r="G51" s="2279"/>
      <c r="H51" s="2279"/>
      <c r="I51" s="2306"/>
      <c r="J51" s="2276" t="str">
        <f>S49&amp;".1"</f>
        <v>.1</v>
      </c>
      <c r="K51" s="1350"/>
      <c r="L51" s="1353"/>
      <c r="M51" s="517"/>
      <c r="N51" s="517"/>
      <c r="O51" s="517"/>
      <c r="P51" s="2277"/>
      <c r="Q51" s="2277">
        <v>1</v>
      </c>
      <c r="R51" s="364"/>
      <c r="S51" s="1049"/>
      <c r="T51" s="1406"/>
      <c r="U51" s="1391"/>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92"/>
      <c r="BE51" s="507"/>
      <c r="BF51" s="507" t="str">
        <f>IF(T51="","",T51)</f>
        <v/>
      </c>
      <c r="BG51" s="507"/>
      <c r="BH51" s="507"/>
      <c r="BI51" s="518">
        <v>0</v>
      </c>
    </row>
    <row customHeight="1" ht="11.549999999999999">
      <c r="A52" s="1370" t="s">
        <v>275</v>
      </c>
      <c r="B52" s="1370" t="s">
        <v>276</v>
      </c>
      <c r="C52" s="1370" t="s">
        <v>277</v>
      </c>
      <c r="D52" s="1370" t="s">
        <v>528</v>
      </c>
      <c r="E52" s="2279"/>
      <c r="F52" s="2279"/>
      <c r="G52" s="2279"/>
      <c r="H52" s="2279"/>
      <c r="I52" s="2306"/>
      <c r="J52" s="2306"/>
      <c r="K52" s="2276" t="str">
        <f>S48&amp;".1"</f>
        <v>...1</v>
      </c>
      <c r="L52" s="1371"/>
      <c r="P52" s="2277"/>
      <c r="Q52" s="2277"/>
      <c r="R52" s="364">
        <v>1</v>
      </c>
      <c r="S52" s="2361" t="str">
        <f>$K52</f>
        <v>...1</v>
      </c>
      <c r="T52" s="2380"/>
      <c r="U52" s="307"/>
      <c r="V52" s="758"/>
      <c r="W52" s="1264"/>
      <c r="X52" s="758"/>
      <c r="Y52" s="1264"/>
      <c r="Z52" s="1740"/>
      <c r="AA52" s="1476" t="s">
        <v>61</v>
      </c>
      <c r="AB52" s="1740"/>
      <c r="AC52" s="1476" t="s">
        <v>61</v>
      </c>
      <c r="AD52" s="2205" t="s">
        <v>61</v>
      </c>
      <c r="AE52" s="2346"/>
      <c r="AF52" s="2225">
        <v>1</v>
      </c>
      <c r="AG52" s="2383"/>
      <c r="AH52" s="2127" t="s">
        <v>61</v>
      </c>
      <c r="AI52" s="2346"/>
      <c r="AJ52" s="2225">
        <v>1</v>
      </c>
      <c r="AK52" s="2347" t="s">
        <v>22</v>
      </c>
      <c r="AL52" s="2127" t="s">
        <v>61</v>
      </c>
      <c r="AM52" s="2212"/>
      <c r="AN52" s="2225">
        <v>1</v>
      </c>
      <c r="AO52" s="2377"/>
      <c r="AP52" s="2378" t="s">
        <v>61</v>
      </c>
      <c r="AQ52" s="318"/>
      <c r="AR52" s="1493">
        <v>1</v>
      </c>
      <c r="AS52" s="1499" t="s">
        <v>22</v>
      </c>
      <c r="AT52" s="758"/>
      <c r="AU52" s="1264"/>
      <c r="AV52" s="758"/>
      <c r="AW52" s="1264"/>
      <c r="AX52" s="1740"/>
      <c r="AY52" s="1476" t="s">
        <v>61</v>
      </c>
      <c r="AZ52" s="1740"/>
      <c r="BA52" s="1476" t="s">
        <v>61</v>
      </c>
      <c r="BB52" s="1355"/>
      <c r="BC52" s="2273" t="s">
        <v>500</v>
      </c>
      <c r="BE52" s="507"/>
      <c r="BF52" s="507" t="str">
        <f>IF(T52="","",T52)</f>
        <v/>
      </c>
      <c r="BG52" s="507"/>
      <c r="BH52" s="507"/>
      <c r="BI52" s="1162">
        <v>11</v>
      </c>
    </row>
    <row customHeight="1" ht="11.549999999999999">
      <c r="A53" s="1370"/>
      <c r="B53" s="1370"/>
      <c r="C53" s="1370"/>
      <c r="D53" s="1370"/>
      <c r="E53" s="2279"/>
      <c r="F53" s="2279"/>
      <c r="G53" s="2279"/>
      <c r="H53" s="2279"/>
      <c r="I53" s="2306"/>
      <c r="J53" s="2306"/>
      <c r="K53" s="2276"/>
      <c r="L53" s="1371"/>
      <c r="P53" s="2277"/>
      <c r="Q53" s="2277"/>
      <c r="R53" s="364"/>
      <c r="S53" s="2362"/>
      <c r="T53" s="2381"/>
      <c r="U53" s="307"/>
      <c r="V53" s="1400"/>
      <c r="W53" s="1503"/>
      <c r="X53" s="1400"/>
      <c r="Y53" s="1503"/>
      <c r="Z53" s="1400"/>
      <c r="AA53" s="1400"/>
      <c r="AB53" s="1400"/>
      <c r="AC53" s="1400"/>
      <c r="AD53" s="2206"/>
      <c r="AE53" s="2346"/>
      <c r="AF53" s="2225"/>
      <c r="AG53" s="2383"/>
      <c r="AH53" s="2127"/>
      <c r="AI53" s="2346"/>
      <c r="AJ53" s="2225"/>
      <c r="AK53" s="2347"/>
      <c r="AL53" s="2127"/>
      <c r="AM53" s="2220"/>
      <c r="AN53" s="2225"/>
      <c r="AO53" s="2377"/>
      <c r="AP53" s="2379"/>
      <c r="AQ53" s="323"/>
      <c r="AR53" s="423"/>
      <c r="AS53" s="423" t="s">
        <v>501</v>
      </c>
      <c r="AT53" s="1400"/>
      <c r="AU53" s="1503"/>
      <c r="AV53" s="1400"/>
      <c r="AW53" s="1503"/>
      <c r="AX53" s="1400"/>
      <c r="AY53" s="1400"/>
      <c r="AZ53" s="1400"/>
      <c r="BA53" s="1400"/>
      <c r="BB53" s="1404"/>
      <c r="BC53" s="2274"/>
      <c r="BE53" s="507"/>
      <c r="BF53" s="507"/>
      <c r="BG53" s="507"/>
      <c r="BH53" s="507"/>
      <c r="BI53" s="1162">
        <v>11</v>
      </c>
    </row>
    <row customHeight="1" ht="11.549999999999999">
      <c r="A54" s="1370" t="s">
        <v>275</v>
      </c>
      <c r="B54" s="1370"/>
      <c r="C54" s="1370"/>
      <c r="D54" s="1370"/>
      <c r="E54" s="2279"/>
      <c r="F54" s="2279"/>
      <c r="G54" s="2279"/>
      <c r="H54" s="2279"/>
      <c r="I54" s="2306"/>
      <c r="J54" s="2306"/>
      <c r="K54" s="2276"/>
      <c r="L54" s="1371"/>
      <c r="P54" s="2277"/>
      <c r="Q54" s="2277"/>
      <c r="R54" s="364"/>
      <c r="S54" s="2362"/>
      <c r="T54" s="2381"/>
      <c r="U54" s="307"/>
      <c r="V54" s="1400"/>
      <c r="W54" s="1503"/>
      <c r="X54" s="1400"/>
      <c r="Y54" s="1503"/>
      <c r="Z54" s="1400"/>
      <c r="AA54" s="1400"/>
      <c r="AB54" s="1400"/>
      <c r="AC54" s="1400"/>
      <c r="AD54" s="2206"/>
      <c r="AE54" s="2346"/>
      <c r="AF54" s="2225"/>
      <c r="AG54" s="2383"/>
      <c r="AH54" s="2127"/>
      <c r="AI54" s="2346"/>
      <c r="AJ54" s="2225"/>
      <c r="AK54" s="2347"/>
      <c r="AL54" s="2127"/>
      <c r="AM54" s="323"/>
      <c r="AN54" s="1507"/>
      <c r="AO54" s="1507" t="s">
        <v>521</v>
      </c>
      <c r="AP54" s="423"/>
      <c r="AQ54" s="423"/>
      <c r="AR54" s="423"/>
      <c r="AS54" s="1400"/>
      <c r="AT54" s="1400"/>
      <c r="AU54" s="1503"/>
      <c r="AV54" s="1400"/>
      <c r="AW54" s="1503"/>
      <c r="AX54" s="1400"/>
      <c r="AY54" s="1400"/>
      <c r="AZ54" s="1400"/>
      <c r="BA54" s="1400"/>
      <c r="BB54" s="1404"/>
      <c r="BC54" s="2274"/>
      <c r="BE54" s="507"/>
      <c r="BF54" s="507"/>
      <c r="BG54" s="507"/>
      <c r="BH54" s="507"/>
      <c r="BI54" s="1162">
        <v>11</v>
      </c>
    </row>
    <row customHeight="1" ht="11.549999999999999">
      <c r="A55" s="1370" t="s">
        <v>275</v>
      </c>
      <c r="B55" s="1370"/>
      <c r="C55" s="1370"/>
      <c r="D55" s="1370"/>
      <c r="E55" s="2279"/>
      <c r="F55" s="2279"/>
      <c r="G55" s="2279"/>
      <c r="H55" s="2279"/>
      <c r="I55" s="2306"/>
      <c r="J55" s="2306"/>
      <c r="K55" s="2276"/>
      <c r="L55" s="1371"/>
      <c r="P55" s="2277"/>
      <c r="Q55" s="2277"/>
      <c r="R55" s="364"/>
      <c r="S55" s="2362"/>
      <c r="T55" s="2381"/>
      <c r="U55" s="307"/>
      <c r="V55" s="1400"/>
      <c r="W55" s="1503"/>
      <c r="X55" s="1400"/>
      <c r="Y55" s="1503"/>
      <c r="Z55" s="1400"/>
      <c r="AA55" s="1400"/>
      <c r="AB55" s="1400"/>
      <c r="AC55" s="1400"/>
      <c r="AD55" s="2206"/>
      <c r="AE55" s="2346"/>
      <c r="AF55" s="2225"/>
      <c r="AG55" s="2383"/>
      <c r="AH55" s="2127"/>
      <c r="AI55" s="301"/>
      <c r="AJ55" s="422"/>
      <c r="AK55" s="320" t="s">
        <v>522</v>
      </c>
      <c r="AL55" s="1400"/>
      <c r="AM55" s="1400"/>
      <c r="AN55" s="1400"/>
      <c r="AO55" s="1400"/>
      <c r="AP55" s="1400"/>
      <c r="AQ55" s="1400"/>
      <c r="AR55" s="1400"/>
      <c r="AS55" s="1400"/>
      <c r="AT55" s="1400"/>
      <c r="AU55" s="1503"/>
      <c r="AV55" s="1400"/>
      <c r="AW55" s="1503"/>
      <c r="AX55" s="1400"/>
      <c r="AY55" s="1400"/>
      <c r="AZ55" s="1400"/>
      <c r="BA55" s="1400"/>
      <c r="BB55" s="1404"/>
      <c r="BC55" s="2274"/>
      <c r="BE55" s="507"/>
      <c r="BF55" s="507"/>
      <c r="BG55" s="507"/>
      <c r="BH55" s="507"/>
      <c r="BI55" s="1162">
        <v>11</v>
      </c>
    </row>
    <row customHeight="1" ht="11.549999999999999">
      <c r="A56" s="1370" t="s">
        <v>275</v>
      </c>
      <c r="B56" s="1370" t="s">
        <v>276</v>
      </c>
      <c r="C56" s="1370" t="s">
        <v>277</v>
      </c>
      <c r="D56" s="1370" t="s">
        <v>528</v>
      </c>
      <c r="E56" s="2279"/>
      <c r="F56" s="2279"/>
      <c r="G56" s="2279"/>
      <c r="H56" s="2279"/>
      <c r="I56" s="2306"/>
      <c r="J56" s="2306"/>
      <c r="K56" s="2276"/>
      <c r="L56" s="1371"/>
      <c r="P56" s="2277"/>
      <c r="Q56" s="2277"/>
      <c r="R56" s="364"/>
      <c r="S56" s="2363"/>
      <c r="T56" s="2382"/>
      <c r="U56" s="307"/>
      <c r="V56" s="1400"/>
      <c r="W56" s="1401" t="str">
        <f>Z52&amp;"-"&amp;AB52</f>
        <v>-</v>
      </c>
      <c r="X56" s="1400"/>
      <c r="Y56" s="1401" t="str">
        <f>AB52&amp;"-"&amp;AD52</f>
        <v>-да</v>
      </c>
      <c r="Z56" s="1400"/>
      <c r="AA56" s="1400"/>
      <c r="AB56" s="1400"/>
      <c r="AC56" s="1400"/>
      <c r="AD56" s="2132"/>
      <c r="AE56" s="319"/>
      <c r="AF56" s="321"/>
      <c r="AG56" s="423" t="s">
        <v>504</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74"/>
      <c r="BE56" s="507"/>
      <c r="BF56" s="507" t="str">
        <f>IF(T56="","",T56)</f>
        <v/>
      </c>
      <c r="BG56" s="507"/>
      <c r="BH56" s="507"/>
      <c r="BI56" s="1162">
        <v>11</v>
      </c>
    </row>
    <row customHeight="1" ht="11.549999999999999">
      <c r="A57" s="1370" t="s">
        <v>275</v>
      </c>
      <c r="B57" s="1370" t="s">
        <v>276</v>
      </c>
      <c r="C57" s="1370" t="s">
        <v>277</v>
      </c>
      <c r="D57" s="1370" t="s">
        <v>528</v>
      </c>
      <c r="E57" s="2279"/>
      <c r="F57" s="2279"/>
      <c r="G57" s="2279"/>
      <c r="H57" s="2279"/>
      <c r="I57" s="2306"/>
      <c r="J57" s="2276"/>
      <c r="K57" s="1370"/>
      <c r="L57" s="1371"/>
      <c r="P57" s="2277"/>
      <c r="Q57" s="2277"/>
      <c r="R57" s="363"/>
      <c r="S57" s="1285"/>
      <c r="T57" s="294" t="s">
        <v>467</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75"/>
      <c r="BE57" s="507"/>
      <c r="BF57" s="507" t="str">
        <f>IF(T57="","",T57)</f>
        <v>Добавить строку</v>
      </c>
      <c r="BG57" s="507"/>
      <c r="BH57" s="507"/>
      <c r="BI57" s="1162">
        <v>11</v>
      </c>
    </row>
    <row s="1649" customFormat="1" customHeight="1" ht="0">
      <c r="A58" s="1350" t="s">
        <v>275</v>
      </c>
      <c r="B58" s="1350" t="s">
        <v>276</v>
      </c>
      <c r="C58" s="1350" t="s">
        <v>277</v>
      </c>
      <c r="D58" s="1350" t="s">
        <v>528</v>
      </c>
      <c r="E58" s="2279"/>
      <c r="F58" s="2279"/>
      <c r="G58" s="2279"/>
      <c r="H58" s="2279"/>
      <c r="I58" s="2276"/>
      <c r="J58" s="1350"/>
      <c r="K58" s="1350"/>
      <c r="L58" s="1353"/>
      <c r="M58" s="517"/>
      <c r="N58" s="517"/>
      <c r="O58" s="517"/>
      <c r="P58" s="2277"/>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275</v>
      </c>
      <c r="B59" s="1350" t="s">
        <v>276</v>
      </c>
      <c r="C59" s="1350" t="s">
        <v>277</v>
      </c>
      <c r="D59" s="1350" t="s">
        <v>528</v>
      </c>
      <c r="E59" s="2279"/>
      <c r="F59" s="2279"/>
      <c r="G59" s="2279"/>
      <c r="H59" s="2278"/>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275</v>
      </c>
      <c r="B60" s="1350" t="s">
        <v>276</v>
      </c>
      <c r="C60" s="1350" t="s">
        <v>277</v>
      </c>
      <c r="D60" s="1321"/>
      <c r="E60" s="2279"/>
      <c r="F60" s="2279"/>
      <c r="G60" s="2278"/>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275</v>
      </c>
      <c r="B61" s="1350" t="s">
        <v>276</v>
      </c>
      <c r="C61" s="1321"/>
      <c r="D61" s="1321"/>
      <c r="E61" s="2279"/>
      <c r="F61" s="2278"/>
      <c r="G61" s="1321"/>
      <c r="H61" s="1321"/>
      <c r="I61" s="1321"/>
      <c r="J61" s="1321"/>
      <c r="K61" s="1321"/>
      <c r="L61" s="150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275</v>
      </c>
      <c r="B62" s="1350"/>
      <c r="C62" s="1350"/>
      <c r="D62" s="1350"/>
      <c r="E62" s="2278"/>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447</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62">
        <v>14</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977F5-24B9-A468-6382-0.5063399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6"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82</v>
      </c>
      <c r="H1" s="501" t="s">
        <v>83</v>
      </c>
      <c r="I1" s="234" t="s">
        <v>84</v>
      </c>
      <c r="J1" s="254" t="s">
        <v>82</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5" customFormat="1" customHeight="1" ht="3">
      <c r="A3" s="765"/>
      <c r="B3" s="424"/>
      <c r="C3" s="765"/>
      <c r="D3" s="171"/>
      <c r="E3" s="110"/>
      <c r="F3" s="516"/>
      <c r="G3" s="110"/>
      <c r="H3" s="110"/>
      <c r="I3" s="173"/>
      <c r="J3" s="254"/>
      <c r="K3" s="162"/>
      <c r="L3" s="162"/>
      <c r="M3" s="162"/>
      <c r="N3" s="233"/>
      <c r="O3" s="162"/>
      <c r="P3" s="232"/>
      <c r="Q3" s="232"/>
      <c r="R3" s="232"/>
      <c r="S3" s="232"/>
      <c r="AC3" s="123">
        <v>3</v>
      </c>
    </row>
    <row s="1825" customFormat="1" customHeight="1" ht="27.299999999999997">
      <c r="A4" s="765"/>
      <c r="B4" s="424"/>
      <c r="C4" s="765"/>
      <c r="D4" s="171"/>
      <c r="E4" s="2120" t="str">
        <f>NameTemplatesInListMO</f>
        <v>Перечень муниципальных районов и муниципальных образований (территорий оказания услуг)</v>
      </c>
      <c r="F4" s="2120"/>
      <c r="G4" s="2120"/>
      <c r="H4" s="2120"/>
      <c r="I4" s="2120"/>
      <c r="J4" s="254"/>
      <c r="K4" s="162"/>
      <c r="L4" s="162"/>
      <c r="M4" s="162"/>
      <c r="N4" s="233"/>
      <c r="O4" s="162"/>
      <c r="P4" s="232"/>
      <c r="Q4" s="232"/>
      <c r="R4" s="232"/>
      <c r="S4" s="232"/>
      <c r="AC4" s="123">
        <v>26</v>
      </c>
    </row>
    <row s="1825" customFormat="1" customHeight="1" ht="3">
      <c r="A5" s="765"/>
      <c r="B5" s="424"/>
      <c r="C5" s="765"/>
      <c r="D5" s="171"/>
      <c r="E5" s="110"/>
      <c r="F5" s="516"/>
      <c r="G5" s="174"/>
      <c r="H5" s="174"/>
      <c r="I5" s="175"/>
      <c r="J5" s="162"/>
      <c r="K5" s="162"/>
      <c r="L5" s="162"/>
      <c r="M5" s="162"/>
      <c r="N5" s="233"/>
      <c r="O5" s="162"/>
      <c r="P5" s="232"/>
      <c r="Q5" s="232"/>
      <c r="R5" s="232"/>
      <c r="S5" s="232"/>
      <c r="AC5" s="123">
        <v>3</v>
      </c>
    </row>
    <row s="1825"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5" customFormat="1" customHeight="1" ht="14.699999999999998">
      <c r="A8" s="765"/>
      <c r="B8" s="424"/>
      <c r="C8" s="765"/>
      <c r="D8" s="171"/>
      <c r="E8" s="2121" t="s">
        <v>85</v>
      </c>
      <c r="F8" s="2122"/>
      <c r="G8" s="2123"/>
      <c r="H8" s="2124" t="s">
        <v>86</v>
      </c>
      <c r="I8" s="2124"/>
      <c r="J8" s="162"/>
      <c r="K8" s="162"/>
      <c r="L8" s="162"/>
      <c r="M8" s="162"/>
      <c r="N8" s="233"/>
      <c r="O8" s="162"/>
      <c r="P8" s="232"/>
      <c r="Q8" s="232"/>
      <c r="R8" s="232"/>
      <c r="S8" s="232"/>
      <c r="AC8" s="123">
        <v>14</v>
      </c>
    </row>
    <row s="1825" customFormat="1" customHeight="1" ht="21">
      <c r="A9" s="765"/>
      <c r="B9" s="424"/>
      <c r="C9" s="765"/>
      <c r="D9" s="171"/>
      <c r="E9" s="784" t="s">
        <v>87</v>
      </c>
      <c r="F9" s="784"/>
      <c r="G9" s="179" t="s">
        <v>88</v>
      </c>
      <c r="H9" s="179" t="s">
        <v>88</v>
      </c>
      <c r="I9" s="179" t="s">
        <v>84</v>
      </c>
      <c r="J9" s="162"/>
      <c r="K9" s="162"/>
      <c r="L9" s="162"/>
      <c r="M9" s="162"/>
      <c r="N9" s="233"/>
      <c r="O9" s="162"/>
      <c r="P9" s="232"/>
      <c r="Q9" s="232"/>
      <c r="R9" s="232"/>
      <c r="S9" s="232"/>
      <c r="AC9" s="123">
        <v>20</v>
      </c>
    </row>
    <row customHeight="1" ht="11.549999999999999">
      <c r="D10" s="183"/>
      <c r="E10" s="785" t="s">
        <v>89</v>
      </c>
      <c r="F10" s="785"/>
      <c r="G10" s="230" t="s">
        <v>90</v>
      </c>
      <c r="H10" s="230" t="s">
        <v>91</v>
      </c>
      <c r="I10" s="230" t="s">
        <v>92</v>
      </c>
      <c r="J10" s="193"/>
      <c r="K10" s="193"/>
      <c r="L10" s="193"/>
      <c r="M10" s="193"/>
      <c r="N10" s="178"/>
      <c r="O10" s="193"/>
      <c r="P10" s="231"/>
      <c r="Q10" s="231"/>
      <c r="R10" s="231"/>
      <c r="S10" s="231"/>
      <c r="AC10" s="90">
        <v>11</v>
      </c>
    </row>
    <row s="1825" customFormat="1" customHeight="1" ht="1.05">
      <c r="A11" s="765"/>
      <c r="B11" s="424"/>
      <c r="C11" s="765"/>
      <c r="D11" s="171"/>
      <c r="E11" s="797"/>
      <c r="F11" s="797"/>
      <c r="G11" s="180"/>
      <c r="H11" s="180"/>
      <c r="I11" s="182"/>
      <c r="J11" s="256" t="s">
        <v>93</v>
      </c>
      <c r="K11" s="162"/>
      <c r="L11" s="162"/>
      <c r="M11" s="162" t="s">
        <v>94</v>
      </c>
      <c r="N11" s="233" t="s">
        <v>95</v>
      </c>
      <c r="O11" s="162" t="s">
        <v>96</v>
      </c>
      <c r="P11" s="232"/>
      <c r="Q11" s="232"/>
      <c r="R11" s="232"/>
      <c r="S11" s="232"/>
      <c r="AC11" s="123">
        <v>1</v>
      </c>
    </row>
    <row s="1825" customFormat="1" customHeight="1" ht="15">
      <c r="A12" s="2119">
        <v>1</v>
      </c>
      <c r="B12" s="424"/>
      <c r="C12" s="765"/>
      <c r="D12" s="789"/>
      <c r="E12" s="226">
        <f>A12</f>
        <v>1</v>
      </c>
      <c r="F12" s="809" t="s">
        <v>97</v>
      </c>
      <c r="G12" s="547" t="str">
        <f>"Территория "&amp;E12</f>
        <v>Территория 1</v>
      </c>
      <c r="H12" s="799"/>
      <c r="I12" s="799"/>
      <c r="J12" s="796"/>
      <c r="K12" s="507"/>
      <c r="L12" s="507"/>
      <c r="M12" s="507"/>
      <c r="N12" s="233"/>
      <c r="O12" s="507"/>
      <c r="P12" s="232"/>
      <c r="Q12" s="232"/>
      <c r="R12" s="232"/>
      <c r="S12" s="232"/>
      <c r="AC12" s="514">
        <v>14</v>
      </c>
    </row>
    <row s="1854" customFormat="1" customHeight="1" ht="15.75">
      <c r="A13" s="2119"/>
      <c r="B13" s="424">
        <v>1</v>
      </c>
      <c r="C13" s="424"/>
      <c r="D13" s="807"/>
      <c r="E13" s="787" t="str">
        <f>A12&amp;"."&amp;B13</f>
        <v>1.1</v>
      </c>
      <c r="F13" s="802" t="s">
        <v>98</v>
      </c>
      <c r="G13" s="800" t="s">
        <v>99</v>
      </c>
      <c r="H13" s="800" t="s">
        <v>100</v>
      </c>
      <c r="I13" s="798" t="s">
        <v>101</v>
      </c>
      <c r="J13" s="507">
        <f>MERGEVALUE(G13)</f>
      </c>
      <c r="K13" s="518"/>
      <c r="L13" s="518"/>
      <c r="M13" s="507" t="str">
        <f t="array" ref="M13:M13">IF(ISERROR(MATCH(MID(N13,1,250),MID(note_ter,1,250),0)),"n","y")</f>
        <v>n</v>
      </c>
      <c r="N13" s="518"/>
      <c r="O13" s="507" t="str">
        <f>H13&amp;"("&amp;I13&amp;")"</f>
        <v>Рабочий поселок Искателей(11811111)</v>
      </c>
      <c r="P13" s="424"/>
      <c r="Q13" s="424"/>
      <c r="R13" s="427"/>
      <c r="S13" s="424"/>
      <c r="T13" s="424"/>
      <c r="U13" s="424"/>
      <c r="V13" s="429"/>
      <c r="W13" s="429"/>
      <c r="X13" s="426"/>
      <c r="Y13" s="426"/>
      <c r="Z13" s="426"/>
      <c r="AA13" s="426"/>
      <c r="AB13" s="426"/>
      <c r="AC13" s="430">
        <v>15</v>
      </c>
    </row>
    <row s="1854" customFormat="1" customHeight="1" ht="15.75">
      <c r="A14" s="2119"/>
      <c r="B14" s="424"/>
      <c r="C14" s="419"/>
      <c r="D14" s="808"/>
      <c r="E14" s="428"/>
      <c r="F14" s="184"/>
      <c r="G14" s="422" t="s">
        <v>102</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5" customFormat="1" customHeight="1" ht="14.699999999999998">
      <c r="A15" s="765"/>
      <c r="B15" s="424"/>
      <c r="C15" s="765"/>
      <c r="D15" s="789"/>
      <c r="E15" s="801"/>
      <c r="F15" s="185"/>
      <c r="G15" s="423" t="s">
        <v>103</v>
      </c>
      <c r="H15" s="185"/>
      <c r="I15" s="186"/>
      <c r="J15" s="256"/>
      <c r="K15" s="162"/>
      <c r="L15" s="162"/>
      <c r="M15" s="162"/>
      <c r="N15" s="233" t="s">
        <v>104</v>
      </c>
      <c r="O15" s="162"/>
      <c r="P15" s="232"/>
      <c r="Q15" s="232"/>
      <c r="R15" s="232"/>
      <c r="S15" s="232"/>
      <c r="AC15" s="123">
        <v>14</v>
      </c>
    </row>
    <row s="1825"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5"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5"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81</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6451C-099B-44AD-50A2-0.3B20C98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78">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79"/>
      <c r="F3" s="2278">
        <v>1</v>
      </c>
      <c r="G3" s="1370"/>
      <c r="H3" s="1370"/>
      <c r="I3" s="1370"/>
      <c r="J3" s="1370"/>
      <c r="K3" s="1370"/>
      <c r="L3" s="1371"/>
      <c r="M3" s="1372"/>
      <c r="N3" s="1372"/>
      <c r="O3" s="1372"/>
      <c r="P3" s="1494"/>
      <c r="Q3" s="359"/>
      <c r="R3" s="360"/>
      <c r="S3" s="1500">
        <f>INDEX(PT_DIFFERENTIATION_NUM_TER,MATCH(B3,PT_DIFFERENTIATION_TER_ID,0))</f>
      </c>
      <c r="T3" s="315" t="s">
        <v>396</v>
      </c>
      <c r="U3" s="307"/>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65" t="s">
        <v>397</v>
      </c>
      <c r="AU3" s="507"/>
      <c r="AV3" s="507" t="str">
        <f>IF(T3="","",T3)</f>
        <v>Территория действия тарифа</v>
      </c>
      <c r="AW3" s="507"/>
      <c r="AX3" s="507"/>
      <c r="AY3" s="1162">
        <v>0</v>
      </c>
    </row>
    <row customHeight="1" ht="23.25" hidden="1">
      <c r="A4" s="1370"/>
      <c r="B4" s="1370"/>
      <c r="C4" s="1370"/>
      <c r="D4" s="1370"/>
      <c r="E4" s="2279"/>
      <c r="F4" s="2279"/>
      <c r="G4" s="2278">
        <v>1</v>
      </c>
      <c r="H4" s="1370"/>
      <c r="I4" s="1370"/>
      <c r="J4" s="1370"/>
      <c r="K4" s="1370"/>
      <c r="L4" s="1371"/>
      <c r="M4" s="1372"/>
      <c r="N4" s="1372"/>
      <c r="O4" s="1372"/>
      <c r="P4" s="361"/>
      <c r="Q4" s="359"/>
      <c r="R4" s="360"/>
      <c r="S4" s="1500">
        <f>INDEX(PT_DIFFERENTIATION_NUM_CS,MATCH(C4,PT_DIFFERENTIATION_CS_ID,0))</f>
      </c>
      <c r="T4" s="316" t="s">
        <v>529</v>
      </c>
      <c r="U4" s="307"/>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65" t="s">
        <v>530</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79"/>
      <c r="F5" s="2279"/>
      <c r="G5" s="2279"/>
      <c r="H5" s="2279"/>
      <c r="I5" s="2276">
        <f>S4&amp;".1"</f>
      </c>
      <c r="J5" s="1370"/>
      <c r="K5" s="1370"/>
      <c r="L5" s="1371"/>
      <c r="P5" s="2277">
        <v>1</v>
      </c>
      <c r="Q5" s="1488"/>
      <c r="R5" s="363"/>
      <c r="S5" s="1500">
        <f>$I5</f>
      </c>
      <c r="T5" s="292" t="s">
        <v>482</v>
      </c>
      <c r="U5" s="307"/>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65" t="s">
        <v>483</v>
      </c>
      <c r="AU5" s="507"/>
      <c r="AV5" s="507" t="str">
        <f>IF(T5="","",T5)</f>
        <v>Наименование признака дифференциации</v>
      </c>
      <c r="AW5" s="507"/>
      <c r="AX5" s="507"/>
      <c r="AY5" s="1162">
        <v>0</v>
      </c>
    </row>
    <row customHeight="1" ht="23.25" hidden="1">
      <c r="A6" s="1370"/>
      <c r="B6" s="1370"/>
      <c r="C6" s="1370"/>
      <c r="D6" s="1370"/>
      <c r="E6" s="2279"/>
      <c r="F6" s="2279"/>
      <c r="G6" s="2279"/>
      <c r="H6" s="2279"/>
      <c r="I6" s="2306"/>
      <c r="J6" s="2276">
        <f>I5&amp;".1"</f>
      </c>
      <c r="K6" s="1370"/>
      <c r="L6" s="1371" t="s">
        <v>405</v>
      </c>
      <c r="P6" s="2277"/>
      <c r="Q6" s="2277">
        <v>1</v>
      </c>
      <c r="R6" s="364"/>
      <c r="S6" s="1500">
        <f>$J6</f>
      </c>
      <c r="T6" s="293" t="s">
        <v>406</v>
      </c>
      <c r="U6" s="307"/>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14" t="s">
        <v>484</v>
      </c>
      <c r="AU6" s="507"/>
      <c r="AV6" s="507" t="str">
        <f>IF(T6="","",T6)</f>
        <v>Группа потребителей</v>
      </c>
      <c r="AW6" s="507"/>
      <c r="AX6" s="507"/>
      <c r="AY6" s="1162">
        <v>0</v>
      </c>
    </row>
    <row customHeight="1" ht="23.25" hidden="1">
      <c r="A7" s="1370"/>
      <c r="B7" s="1370"/>
      <c r="C7" s="1370"/>
      <c r="D7" s="1370"/>
      <c r="E7" s="2279"/>
      <c r="F7" s="2279"/>
      <c r="G7" s="2279"/>
      <c r="H7" s="2279"/>
      <c r="I7" s="2306"/>
      <c r="J7" s="2306"/>
      <c r="K7" s="2276">
        <f>J6&amp;".1"</f>
      </c>
      <c r="L7" s="1371"/>
      <c r="P7" s="2277"/>
      <c r="Q7" s="2277"/>
      <c r="R7" s="364">
        <v>1</v>
      </c>
      <c r="S7" s="1500">
        <f>$K7</f>
      </c>
      <c r="T7" s="1444"/>
      <c r="U7" s="307"/>
      <c r="V7" s="758"/>
      <c r="W7" s="758"/>
      <c r="X7" s="758"/>
      <c r="Y7" s="758"/>
      <c r="Z7" s="758"/>
      <c r="AA7" s="758"/>
      <c r="AB7" s="758"/>
      <c r="AC7" s="2285"/>
      <c r="AD7" s="2127" t="s">
        <v>61</v>
      </c>
      <c r="AE7" s="2285"/>
      <c r="AF7" s="2127" t="s">
        <v>61</v>
      </c>
      <c r="AG7" s="758"/>
      <c r="AH7" s="758"/>
      <c r="AI7" s="758"/>
      <c r="AJ7" s="758"/>
      <c r="AK7" s="758"/>
      <c r="AL7" s="758"/>
      <c r="AM7" s="758"/>
      <c r="AN7" s="2285"/>
      <c r="AO7" s="2127" t="s">
        <v>61</v>
      </c>
      <c r="AP7" s="2307"/>
      <c r="AQ7" s="2127" t="s">
        <v>61</v>
      </c>
      <c r="AR7" s="1445"/>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79"/>
      <c r="F8" s="2279"/>
      <c r="G8" s="2279"/>
      <c r="H8" s="2279"/>
      <c r="I8" s="2306"/>
      <c r="J8" s="2306"/>
      <c r="K8" s="2276"/>
      <c r="L8" s="1371"/>
      <c r="P8" s="2277"/>
      <c r="Q8" s="2277"/>
      <c r="R8" s="364"/>
      <c r="S8" s="1497"/>
      <c r="T8" s="307"/>
      <c r="U8" s="307"/>
      <c r="V8" s="332"/>
      <c r="W8" s="332"/>
      <c r="X8" s="332"/>
      <c r="Y8" s="332"/>
      <c r="Z8" s="332"/>
      <c r="AA8" s="332"/>
      <c r="AB8" s="332"/>
      <c r="AC8" s="2286"/>
      <c r="AD8" s="2127"/>
      <c r="AE8" s="2286"/>
      <c r="AF8" s="2127"/>
      <c r="AG8" s="332"/>
      <c r="AH8" s="332"/>
      <c r="AI8" s="332"/>
      <c r="AJ8" s="332"/>
      <c r="AK8" s="332"/>
      <c r="AL8" s="332"/>
      <c r="AM8" s="332"/>
      <c r="AN8" s="2286"/>
      <c r="AO8" s="2127"/>
      <c r="AP8" s="2308"/>
      <c r="AQ8" s="2127"/>
      <c r="AR8" s="1446"/>
      <c r="AS8" s="2369"/>
      <c r="AU8" s="507"/>
      <c r="AV8" s="507" t="str">
        <f>IF(T8="","",T8)</f>
        <v/>
      </c>
      <c r="AW8" s="507"/>
      <c r="AX8" s="507"/>
      <c r="AY8" s="1162">
        <v>0</v>
      </c>
    </row>
    <row customHeight="1" ht="21" hidden="1">
      <c r="A9" s="1370"/>
      <c r="B9" s="1370"/>
      <c r="C9" s="1370"/>
      <c r="D9" s="1370"/>
      <c r="E9" s="2279"/>
      <c r="F9" s="2279"/>
      <c r="G9" s="2279"/>
      <c r="H9" s="2279"/>
      <c r="I9" s="2306"/>
      <c r="J9" s="2276"/>
      <c r="K9" s="1370"/>
      <c r="L9" s="1371"/>
      <c r="P9" s="2277"/>
      <c r="Q9" s="2277"/>
      <c r="R9" s="363"/>
      <c r="S9" s="1285"/>
      <c r="T9" s="294" t="s">
        <v>485</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486</v>
      </c>
      <c r="AU9" s="507"/>
      <c r="AV9" s="507" t="str">
        <f>IF(T9="","",T9)</f>
        <v>Добавить значение признака дифференциации</v>
      </c>
      <c r="AW9" s="507"/>
      <c r="AX9" s="507"/>
      <c r="AY9" s="1162">
        <v>0</v>
      </c>
    </row>
    <row customHeight="1" ht="21" hidden="1">
      <c r="A10" s="1370"/>
      <c r="B10" s="1370"/>
      <c r="C10" s="1370"/>
      <c r="D10" s="1370"/>
      <c r="E10" s="2279"/>
      <c r="F10" s="2279"/>
      <c r="G10" s="2279"/>
      <c r="H10" s="2279"/>
      <c r="I10" s="2276"/>
      <c r="J10" s="1370"/>
      <c r="K10" s="1370"/>
      <c r="L10" s="1371"/>
      <c r="P10" s="2277"/>
      <c r="Q10" s="1488"/>
      <c r="R10" s="363"/>
      <c r="S10" s="1285"/>
      <c r="T10" s="372" t="s">
        <v>411</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79"/>
      <c r="F11" s="2279"/>
      <c r="G11" s="2279"/>
      <c r="H11" s="2278"/>
      <c r="I11" s="1370"/>
      <c r="J11" s="1370"/>
      <c r="K11" s="1370"/>
      <c r="L11" s="1371"/>
      <c r="M11" s="1372"/>
      <c r="N11" s="1372"/>
      <c r="O11" s="544"/>
      <c r="P11" s="367"/>
      <c r="Q11" s="382"/>
      <c r="R11" s="362"/>
      <c r="S11" s="1285"/>
      <c r="T11" s="379" t="s">
        <v>487</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79"/>
      <c r="F12" s="2278"/>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78"/>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87"/>
      <c r="AO15" s="2288" t="s">
        <v>61</v>
      </c>
      <c r="AP15" s="2287"/>
      <c r="AQ15" s="2288" t="s">
        <v>61</v>
      </c>
      <c r="AY15" s="1162">
        <v>0</v>
      </c>
    </row>
    <row customHeight="1" ht="14.25" hidden="1">
      <c r="AG16" s="1367"/>
      <c r="AH16" s="1367"/>
      <c r="AI16" s="1367"/>
      <c r="AJ16" s="1367"/>
      <c r="AK16" s="1367"/>
      <c r="AL16" s="1367"/>
      <c r="AM16" s="1367"/>
      <c r="AN16" s="2288"/>
      <c r="AO16" s="2288"/>
      <c r="AP16" s="2288"/>
      <c r="AQ16" s="2288"/>
      <c r="AY16" s="1162">
        <v>0</v>
      </c>
    </row>
    <row customHeight="1" ht="14.25" hidden="1">
      <c r="AQ17" s="334"/>
      <c r="AY17" s="1162">
        <v>0</v>
      </c>
    </row>
    <row s="1373" customFormat="1" customHeight="1" ht="22.5" hidden="1">
      <c r="L18" s="1485"/>
      <c r="M18" s="1369"/>
      <c r="N18" s="1369"/>
      <c r="O18" s="1374" t="s">
        <v>416</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417</v>
      </c>
      <c r="P20" s="1369"/>
      <c r="Q20" s="1449"/>
      <c r="R20" s="1449"/>
      <c r="S20" s="736"/>
      <c r="T20" s="1167" t="s">
        <v>418</v>
      </c>
      <c r="W20" s="1373"/>
      <c r="X20" s="1373"/>
      <c r="Y20" s="1373"/>
      <c r="Z20" s="1373"/>
      <c r="AA20" s="1373"/>
      <c r="AB20" s="1373"/>
      <c r="AD20" s="193" t="s">
        <v>419</v>
      </c>
      <c r="AF20" s="193" t="s">
        <v>420</v>
      </c>
      <c r="AG20" s="1167" t="s">
        <v>418</v>
      </c>
      <c r="AH20" s="1373"/>
      <c r="AI20" s="1373"/>
      <c r="AJ20" s="1373"/>
      <c r="AK20" s="1373"/>
      <c r="AL20" s="1373"/>
      <c r="AO20" s="193" t="s">
        <v>421</v>
      </c>
      <c r="AQ20" s="193" t="s">
        <v>420</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50"/>
      <c r="AY24" s="1162">
        <v>25</v>
      </c>
    </row>
    <row customHeight="1" ht="14.699999999999998">
      <c r="Q25" s="383"/>
      <c r="R25" s="383"/>
      <c r="S25" s="2269" t="str">
        <f>IF(org=0,"Не определено",org)</f>
        <v>ИМУП «ПОСЖИЛКОМСЕРВИС»</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57" customFormat="1" customHeight="1" ht="25.5" hidden="1">
      <c r="A27" s="1375"/>
      <c r="B27" s="1375"/>
      <c r="C27" s="1375"/>
      <c r="D27" s="1375"/>
      <c r="E27" s="1375"/>
      <c r="F27" s="1375"/>
      <c r="G27" s="1375"/>
      <c r="H27" s="1375"/>
      <c r="I27" s="1375"/>
      <c r="J27" s="1375"/>
      <c r="K27" s="1375"/>
      <c r="L27" s="1376"/>
      <c r="M27" s="1375"/>
      <c r="N27" s="1375"/>
      <c r="O27" s="1375"/>
      <c r="S27" s="2270" t="s">
        <v>41</v>
      </c>
      <c r="T27" s="2270"/>
      <c r="U27" s="1379"/>
      <c r="V27" s="2271" t="str">
        <f>IF(TITLE_NAME_OR_PR_CHANGE="",IF(TITLE_NAME_OR_PR="","",TITLE_NAME_OR_PR),TITLE_NAME_OR_PR_CHANGE)</f>
        <v/>
      </c>
      <c r="W27" s="2271"/>
      <c r="X27" s="2271"/>
      <c r="Y27" s="2271"/>
      <c r="Z27" s="2271"/>
      <c r="AA27" s="2271"/>
      <c r="AB27" s="2271"/>
      <c r="AC27" s="2271"/>
      <c r="AD27" s="2271"/>
      <c r="AE27" s="2271"/>
      <c r="AF27" s="333"/>
      <c r="AG27" s="2271" t="str">
        <f>IF(TITLE_NAME_OR_PR_CHANGE="",IF(TITLE_NAME_OR_PR="","",TITLE_NAME_OR_PR),TITLE_NAME_OR_PR_CHANGE)</f>
        <v/>
      </c>
      <c r="AH27" s="2271"/>
      <c r="AI27" s="2271"/>
      <c r="AJ27" s="2271"/>
      <c r="AK27" s="2271"/>
      <c r="AL27" s="2271"/>
      <c r="AM27" s="2271"/>
      <c r="AN27" s="2271"/>
      <c r="AO27" s="2271"/>
      <c r="AP27" s="2271"/>
      <c r="AQ27" s="333"/>
      <c r="AR27" s="333"/>
      <c r="AS27" s="287"/>
      <c r="AT27" s="375"/>
      <c r="AU27" s="375"/>
      <c r="AV27" s="375"/>
      <c r="AW27" s="375"/>
      <c r="AX27" s="375"/>
      <c r="AY27" s="425">
        <v>0</v>
      </c>
    </row>
    <row s="1857" customFormat="1" customHeight="1" ht="18.75" hidden="1">
      <c r="A28" s="1375"/>
      <c r="B28" s="1375"/>
      <c r="C28" s="1375"/>
      <c r="D28" s="1375"/>
      <c r="E28" s="1375"/>
      <c r="F28" s="1375"/>
      <c r="G28" s="1375"/>
      <c r="H28" s="1375"/>
      <c r="I28" s="1375"/>
      <c r="J28" s="1375"/>
      <c r="K28" s="1375"/>
      <c r="L28" s="1376"/>
      <c r="M28" s="1375"/>
      <c r="N28" s="1375"/>
      <c r="O28" s="1375"/>
      <c r="S28" s="2270" t="s">
        <v>422</v>
      </c>
      <c r="T28" s="2270"/>
      <c r="U28" s="1379"/>
      <c r="V28" s="2284" t="str">
        <f>IF(TITLE_DATE_PR_CHANGE="",IF(TITLE_DATE_PR="","",TITLE_DATE_PR),TITLE_DATE_PR_CHANGE)</f>
        <v/>
      </c>
      <c r="W28" s="2284"/>
      <c r="X28" s="2284"/>
      <c r="Y28" s="2284"/>
      <c r="Z28" s="2284"/>
      <c r="AA28" s="2284"/>
      <c r="AB28" s="2284"/>
      <c r="AC28" s="2284"/>
      <c r="AD28" s="2284"/>
      <c r="AE28" s="2284"/>
      <c r="AF28" s="333"/>
      <c r="AG28" s="2284" t="str">
        <f>IF(TITLE_DATE_PR_CHANGE="",IF(TITLE_DATE_PR="","",TITLE_DATE_PR),TITLE_DATE_PR_CHANGE)</f>
        <v/>
      </c>
      <c r="AH28" s="2284"/>
      <c r="AI28" s="2284"/>
      <c r="AJ28" s="2284"/>
      <c r="AK28" s="2284"/>
      <c r="AL28" s="2284"/>
      <c r="AM28" s="2284"/>
      <c r="AN28" s="2284"/>
      <c r="AO28" s="2284"/>
      <c r="AP28" s="2284"/>
      <c r="AQ28" s="333"/>
      <c r="AR28" s="333"/>
      <c r="AS28" s="287"/>
      <c r="AT28" s="375"/>
      <c r="AU28" s="375"/>
      <c r="AV28" s="375"/>
      <c r="AW28" s="375"/>
      <c r="AX28" s="375"/>
      <c r="AY28" s="425">
        <v>0</v>
      </c>
    </row>
    <row s="1857" customFormat="1" customHeight="1" ht="18.75" hidden="1">
      <c r="A29" s="1375"/>
      <c r="B29" s="1375"/>
      <c r="C29" s="1375"/>
      <c r="D29" s="1375"/>
      <c r="E29" s="1375"/>
      <c r="F29" s="1375"/>
      <c r="G29" s="1375"/>
      <c r="H29" s="1375"/>
      <c r="I29" s="1375"/>
      <c r="J29" s="1375"/>
      <c r="K29" s="1375"/>
      <c r="L29" s="1376"/>
      <c r="M29" s="1375"/>
      <c r="N29" s="1375"/>
      <c r="O29" s="1375"/>
      <c r="S29" s="2270" t="s">
        <v>423</v>
      </c>
      <c r="T29" s="2270"/>
      <c r="U29" s="1379"/>
      <c r="V29" s="2271" t="str">
        <f>IF(TITLE_NUMBER_PR_CHANGE="",IF(TITLE_NUMBER_PR="","",TITLE_NUMBER_PR),TITLE_NUMBER_PR_CHANGE)</f>
        <v/>
      </c>
      <c r="W29" s="2271"/>
      <c r="X29" s="2271"/>
      <c r="Y29" s="2271"/>
      <c r="Z29" s="2271"/>
      <c r="AA29" s="2271"/>
      <c r="AB29" s="2271"/>
      <c r="AC29" s="2271"/>
      <c r="AD29" s="2271"/>
      <c r="AE29" s="2271"/>
      <c r="AF29" s="333"/>
      <c r="AG29" s="2271" t="str">
        <f>IF(TITLE_NUMBER_PR_CHANGE="",IF(TITLE_NUMBER_PR="","",TITLE_NUMBER_PR),TITLE_NUMBER_PR_CHANGE)</f>
        <v/>
      </c>
      <c r="AH29" s="2271"/>
      <c r="AI29" s="2271"/>
      <c r="AJ29" s="2271"/>
      <c r="AK29" s="2271"/>
      <c r="AL29" s="2271"/>
      <c r="AM29" s="2271"/>
      <c r="AN29" s="2271"/>
      <c r="AO29" s="2271"/>
      <c r="AP29" s="2271"/>
      <c r="AQ29" s="333"/>
      <c r="AR29" s="333"/>
      <c r="AS29" s="287"/>
      <c r="AT29" s="375"/>
      <c r="AU29" s="375"/>
      <c r="AV29" s="375"/>
      <c r="AW29" s="375"/>
      <c r="AX29" s="375"/>
      <c r="AY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v>
      </c>
      <c r="T30" s="2270"/>
      <c r="U30" s="1379"/>
      <c r="V30" s="2271" t="str">
        <f>IF(TITLE_IST_PUB_CHANGE="",IF(TITLE_IST_PUB="","",TITLE_IST_PUB),TITLE_IST_PUB_CHANGE)</f>
        <v/>
      </c>
      <c r="W30" s="2271"/>
      <c r="X30" s="2271"/>
      <c r="Y30" s="2271"/>
      <c r="Z30" s="2271"/>
      <c r="AA30" s="2271"/>
      <c r="AB30" s="2271"/>
      <c r="AC30" s="2271"/>
      <c r="AD30" s="2271"/>
      <c r="AE30" s="2271"/>
      <c r="AF30" s="333"/>
      <c r="AG30" s="2271" t="str">
        <f>IF(TITLE_IST_PUB_CHANGE="",IF(TITLE_IST_PUB="","",TITLE_IST_PUB),TITLE_IST_PUB_CHANGE)</f>
        <v/>
      </c>
      <c r="AH30" s="2271"/>
      <c r="AI30" s="2271"/>
      <c r="AJ30" s="2271"/>
      <c r="AK30" s="2271"/>
      <c r="AL30" s="2271"/>
      <c r="AM30" s="2271"/>
      <c r="AN30" s="2271"/>
      <c r="AO30" s="2271"/>
      <c r="AP30" s="2271"/>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57" customFormat="1" customHeight="1" ht="18.75" hidden="1">
      <c r="A32" s="1375"/>
      <c r="B32" s="1375"/>
      <c r="C32" s="1375"/>
      <c r="D32" s="1375"/>
      <c r="E32" s="1375"/>
      <c r="F32" s="1375"/>
      <c r="G32" s="1375"/>
      <c r="H32" s="1375"/>
      <c r="I32" s="1375"/>
      <c r="J32" s="1375"/>
      <c r="K32" s="1375"/>
      <c r="L32" s="1376"/>
      <c r="M32" s="1375"/>
      <c r="N32" s="1375"/>
      <c r="O32" s="1375"/>
      <c r="S32" s="2270" t="s">
        <v>424</v>
      </c>
      <c r="T32" s="2270"/>
      <c r="U32" s="1379"/>
      <c r="V32" s="2284" t="str">
        <f>IF(TITLE_DATE_PR_CHANGE="",IF(TITLE_DATE_PR="","",TITLE_DATE_PR),TITLE_DATE_PR_CHANGE)</f>
        <v/>
      </c>
      <c r="W32" s="2284"/>
      <c r="X32" s="2284"/>
      <c r="Y32" s="2284"/>
      <c r="Z32" s="2284"/>
      <c r="AA32" s="2284"/>
      <c r="AB32" s="2284"/>
      <c r="AC32" s="2284"/>
      <c r="AD32" s="2284"/>
      <c r="AE32" s="2284"/>
      <c r="AF32" s="333"/>
      <c r="AG32" s="2284" t="str">
        <f>IF(TITLE_DATE_PR_CHANGE="",IF(TITLE_DATE_PR="","",TITLE_DATE_PR),TITLE_DATE_PR_CHANGE)</f>
        <v/>
      </c>
      <c r="AH32" s="2284"/>
      <c r="AI32" s="2284"/>
      <c r="AJ32" s="2284"/>
      <c r="AK32" s="2284"/>
      <c r="AL32" s="2284"/>
      <c r="AM32" s="2284"/>
      <c r="AN32" s="2284"/>
      <c r="AO32" s="2284"/>
      <c r="AP32" s="2284"/>
      <c r="AQ32" s="333"/>
      <c r="AR32" s="333"/>
      <c r="AS32" s="287"/>
      <c r="AT32" s="375"/>
      <c r="AU32" s="375"/>
      <c r="AV32" s="375"/>
      <c r="AW32" s="375"/>
      <c r="AX32" s="375"/>
      <c r="AY32" s="425">
        <v>0</v>
      </c>
    </row>
    <row s="1857" customFormat="1" customHeight="1" ht="18.75" hidden="1">
      <c r="A33" s="1375"/>
      <c r="B33" s="1375"/>
      <c r="C33" s="1375"/>
      <c r="D33" s="1375"/>
      <c r="E33" s="1375"/>
      <c r="F33" s="1375"/>
      <c r="G33" s="1375"/>
      <c r="H33" s="1375"/>
      <c r="I33" s="1375"/>
      <c r="J33" s="1375"/>
      <c r="K33" s="1375"/>
      <c r="L33" s="1376"/>
      <c r="M33" s="1375"/>
      <c r="N33" s="1375"/>
      <c r="O33" s="1375"/>
      <c r="S33" s="2270" t="s">
        <v>425</v>
      </c>
      <c r="T33" s="2270"/>
      <c r="U33" s="1379"/>
      <c r="V33" s="2271" t="str">
        <f>IF(TITLE_NUMBER_PR_CHANGE="",IF(TITLE_NUMBER_PR="","",TITLE_NUMBER_PR),TITLE_NUMBER_PR_CHANGE)</f>
        <v/>
      </c>
      <c r="W33" s="2271"/>
      <c r="X33" s="2271"/>
      <c r="Y33" s="2271"/>
      <c r="Z33" s="2271"/>
      <c r="AA33" s="2271"/>
      <c r="AB33" s="2271"/>
      <c r="AC33" s="2271"/>
      <c r="AD33" s="2271"/>
      <c r="AE33" s="2271"/>
      <c r="AF33" s="333"/>
      <c r="AG33" s="2271" t="str">
        <f>IF(TITLE_NUMBER_PR_CHANGE="",IF(TITLE_NUMBER_PR="","",TITLE_NUMBER_PR),TITLE_NUMBER_PR_CHANGE)</f>
        <v/>
      </c>
      <c r="AH33" s="2271"/>
      <c r="AI33" s="2271"/>
      <c r="AJ33" s="2271"/>
      <c r="AK33" s="2271"/>
      <c r="AL33" s="2271"/>
      <c r="AM33" s="2271"/>
      <c r="AN33" s="2271"/>
      <c r="AO33" s="2271"/>
      <c r="AP33" s="2271"/>
      <c r="AQ33" s="333"/>
      <c r="AR33" s="333"/>
      <c r="AS33" s="287"/>
      <c r="AT33" s="375"/>
      <c r="AU33" s="375"/>
      <c r="AV33" s="375"/>
      <c r="AW33" s="375"/>
      <c r="AX33" s="375"/>
      <c r="AY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426</v>
      </c>
      <c r="AG34" s="333"/>
      <c r="AH34" s="1642"/>
      <c r="AI34" s="1642"/>
      <c r="AJ34" s="1642"/>
      <c r="AK34" s="1642"/>
      <c r="AL34" s="1642"/>
      <c r="AM34" s="333"/>
      <c r="AN34" s="333"/>
      <c r="AO34" s="333"/>
      <c r="AP34" s="333"/>
      <c r="AQ34" s="285" t="s">
        <v>426</v>
      </c>
      <c r="AT34" s="375"/>
      <c r="AU34" s="375"/>
      <c r="AV34" s="375"/>
      <c r="AW34" s="375"/>
      <c r="AX34" s="375"/>
      <c r="AY34" s="425">
        <v>1</v>
      </c>
    </row>
    <row customHeight="1" ht="14.699999999999998">
      <c r="Q35" s="383"/>
      <c r="R35" s="383"/>
      <c r="S35" s="1282"/>
      <c r="T35" s="370"/>
      <c r="U35" s="1251"/>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62">
        <v>14</v>
      </c>
    </row>
    <row customHeight="1" ht="14.699999999999998">
      <c r="Q36" s="383"/>
      <c r="R36" s="383"/>
      <c r="S36" s="2147" t="s">
        <v>299</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300</v>
      </c>
      <c r="AY36" s="1162">
        <v>14</v>
      </c>
    </row>
    <row customHeight="1" ht="14.699999999999998">
      <c r="Q37" s="383"/>
      <c r="R37" s="383"/>
      <c r="S37" s="2293" t="s">
        <v>87</v>
      </c>
      <c r="T37" s="2229" t="s">
        <v>427</v>
      </c>
      <c r="U37" s="308"/>
      <c r="V37" s="2294" t="s">
        <v>428</v>
      </c>
      <c r="W37" s="2311"/>
      <c r="X37" s="2311"/>
      <c r="Y37" s="2311"/>
      <c r="Z37" s="2311"/>
      <c r="AA37" s="2311"/>
      <c r="AB37" s="2311"/>
      <c r="AC37" s="2295"/>
      <c r="AD37" s="2295"/>
      <c r="AE37" s="2296"/>
      <c r="AF37" s="2297" t="s">
        <v>429</v>
      </c>
      <c r="AG37" s="2294" t="s">
        <v>428</v>
      </c>
      <c r="AH37" s="2295"/>
      <c r="AI37" s="2295"/>
      <c r="AJ37" s="2295"/>
      <c r="AK37" s="2295"/>
      <c r="AL37" s="2295"/>
      <c r="AM37" s="2295"/>
      <c r="AN37" s="2295"/>
      <c r="AO37" s="2295"/>
      <c r="AP37" s="2296"/>
      <c r="AQ37" s="2297" t="s">
        <v>430</v>
      </c>
      <c r="AR37" s="2300" t="s">
        <v>431</v>
      </c>
      <c r="AS37" s="2147"/>
      <c r="AY37" s="1162">
        <v>14</v>
      </c>
    </row>
    <row customHeight="1" ht="19.95">
      <c r="Q38" s="383"/>
      <c r="R38" s="383"/>
      <c r="S38" s="2293"/>
      <c r="T38" s="2229"/>
      <c r="U38" s="1038"/>
      <c r="V38" s="2386" t="s">
        <v>531</v>
      </c>
      <c r="W38" s="2385" t="s">
        <v>532</v>
      </c>
      <c r="X38" s="2385"/>
      <c r="Y38" s="2385"/>
      <c r="Z38" s="2385" t="s">
        <v>533</v>
      </c>
      <c r="AA38" s="2385"/>
      <c r="AB38" s="2385"/>
      <c r="AC38" s="2314" t="s">
        <v>435</v>
      </c>
      <c r="AD38" s="2333"/>
      <c r="AE38" s="2334"/>
      <c r="AF38" s="2298"/>
      <c r="AG38" s="2386" t="s">
        <v>531</v>
      </c>
      <c r="AH38" s="2385" t="s">
        <v>532</v>
      </c>
      <c r="AI38" s="2385"/>
      <c r="AJ38" s="2385"/>
      <c r="AK38" s="2385" t="s">
        <v>533</v>
      </c>
      <c r="AL38" s="2385"/>
      <c r="AM38" s="2385"/>
      <c r="AN38" s="2314" t="s">
        <v>435</v>
      </c>
      <c r="AO38" s="2333"/>
      <c r="AP38" s="2334"/>
      <c r="AQ38" s="2298"/>
      <c r="AR38" s="2301"/>
      <c r="AS38" s="2147"/>
      <c r="AY38" s="1162">
        <v>19</v>
      </c>
    </row>
    <row s="1642" customFormat="1" customHeight="1" ht="19.95">
      <c r="A39" s="1373"/>
      <c r="B39" s="1373"/>
      <c r="C39" s="1373"/>
      <c r="D39" s="1373"/>
      <c r="E39" s="1373"/>
      <c r="F39" s="1373"/>
      <c r="G39" s="1373"/>
      <c r="H39" s="1373"/>
      <c r="I39" s="1373"/>
      <c r="J39" s="1373"/>
      <c r="K39" s="1373"/>
      <c r="L39" s="1955"/>
      <c r="M39" s="1369"/>
      <c r="N39" s="1369"/>
      <c r="O39" s="1369"/>
      <c r="P39" s="1969"/>
      <c r="Q39" s="383"/>
      <c r="R39" s="383"/>
      <c r="S39" s="2293"/>
      <c r="T39" s="2229"/>
      <c r="U39" s="1038"/>
      <c r="V39" s="2386"/>
      <c r="W39" s="2385" t="s">
        <v>534</v>
      </c>
      <c r="X39" s="2385" t="s">
        <v>535</v>
      </c>
      <c r="Y39" s="2385"/>
      <c r="Z39" s="2385" t="s">
        <v>536</v>
      </c>
      <c r="AA39" s="2385" t="s">
        <v>535</v>
      </c>
      <c r="AB39" s="2385"/>
      <c r="AC39" s="2315"/>
      <c r="AD39" s="2335"/>
      <c r="AE39" s="2336"/>
      <c r="AF39" s="2298"/>
      <c r="AG39" s="2386"/>
      <c r="AH39" s="2385" t="s">
        <v>534</v>
      </c>
      <c r="AI39" s="2385" t="s">
        <v>535</v>
      </c>
      <c r="AJ39" s="2385"/>
      <c r="AK39" s="2385" t="s">
        <v>536</v>
      </c>
      <c r="AL39" s="2385" t="s">
        <v>535</v>
      </c>
      <c r="AM39" s="2385"/>
      <c r="AN39" s="2315"/>
      <c r="AO39" s="2335"/>
      <c r="AP39" s="2336"/>
      <c r="AQ39" s="2298"/>
      <c r="AR39" s="2301"/>
      <c r="AS39" s="2147"/>
      <c r="AT39" s="1643"/>
      <c r="AU39" s="1643"/>
      <c r="AV39" s="1643"/>
      <c r="AW39" s="1643"/>
      <c r="AX39" s="1643"/>
      <c r="AY39" s="1638">
        <v>19</v>
      </c>
    </row>
    <row customHeight="1" ht="61.949999999999996">
      <c r="A40" s="1377"/>
      <c r="B40" s="1377" t="s">
        <v>136</v>
      </c>
      <c r="C40" s="1377" t="s">
        <v>137</v>
      </c>
      <c r="D40" s="1377" t="s">
        <v>138</v>
      </c>
      <c r="E40" s="1371" t="s">
        <v>436</v>
      </c>
      <c r="F40" s="1371" t="s">
        <v>437</v>
      </c>
      <c r="G40" s="1371" t="s">
        <v>438</v>
      </c>
      <c r="H40" s="1371"/>
      <c r="I40" s="1371" t="s">
        <v>489</v>
      </c>
      <c r="J40" s="1371" t="s">
        <v>441</v>
      </c>
      <c r="K40" s="1371" t="s">
        <v>490</v>
      </c>
      <c r="L40" s="1371" t="s">
        <v>417</v>
      </c>
      <c r="Q40" s="383"/>
      <c r="R40" s="383"/>
      <c r="S40" s="2293"/>
      <c r="T40" s="2229"/>
      <c r="U40" s="309"/>
      <c r="V40" s="2386"/>
      <c r="W40" s="2385"/>
      <c r="X40" s="1987" t="s">
        <v>537</v>
      </c>
      <c r="Y40" s="1987" t="s">
        <v>538</v>
      </c>
      <c r="Z40" s="2385"/>
      <c r="AA40" s="1987" t="s">
        <v>539</v>
      </c>
      <c r="AB40" s="1987" t="s">
        <v>540</v>
      </c>
      <c r="AC40" s="1496" t="s">
        <v>445</v>
      </c>
      <c r="AD40" s="2290" t="s">
        <v>446</v>
      </c>
      <c r="AE40" s="2291"/>
      <c r="AF40" s="2299"/>
      <c r="AG40" s="2386"/>
      <c r="AH40" s="2385"/>
      <c r="AI40" s="1987" t="s">
        <v>537</v>
      </c>
      <c r="AJ40" s="1987" t="s">
        <v>538</v>
      </c>
      <c r="AK40" s="2385"/>
      <c r="AL40" s="1987" t="s">
        <v>539</v>
      </c>
      <c r="AM40" s="1987" t="s">
        <v>540</v>
      </c>
      <c r="AN40" s="1496" t="s">
        <v>445</v>
      </c>
      <c r="AO40" s="2290" t="s">
        <v>446</v>
      </c>
      <c r="AP40" s="2291"/>
      <c r="AQ40" s="2299"/>
      <c r="AR40" s="2302"/>
      <c r="AS40" s="2147"/>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109</v>
      </c>
      <c r="T41" s="1262" t="s">
        <v>110</v>
      </c>
      <c r="U41" s="1252" t="str">
        <f>OFFSET(U41,0,-1)</f>
        <v>2</v>
      </c>
      <c r="V41" s="1489">
        <f>OFFSET(V41,0,-1)+1</f>
        <v>3</v>
      </c>
      <c r="W41" s="1348"/>
      <c r="X41" s="1348"/>
      <c r="Y41" s="1348"/>
      <c r="Z41" s="1348"/>
      <c r="AA41" s="1348"/>
      <c r="AB41" s="1348"/>
      <c r="AC41" s="1489">
        <f>OFFSET(AC41,0,-1)+1</f>
        <v>1</v>
      </c>
      <c r="AD41" s="2292">
        <f>OFFSET(AD41,0,-1)+1</f>
        <v>2</v>
      </c>
      <c r="AE41" s="2292"/>
      <c r="AF41" s="1489">
        <f>OFFSET(AF41,0,-2)+1</f>
        <v>3</v>
      </c>
      <c r="AG41" s="1489">
        <f>OFFSET(AG41,0,-1)+1</f>
        <v>4</v>
      </c>
      <c r="AH41" s="1960"/>
      <c r="AI41" s="1960"/>
      <c r="AJ41" s="1960"/>
      <c r="AK41" s="1960"/>
      <c r="AL41" s="1960"/>
      <c r="AM41" s="1489">
        <f>OFFSET(AM41,0,-1)+1</f>
        <v>1</v>
      </c>
      <c r="AN41" s="1489">
        <f>OFFSET(AN41,0,-1)+1</f>
        <v>2</v>
      </c>
      <c r="AO41" s="2292">
        <f>OFFSET(AO41,0,-1)+1</f>
        <v>3</v>
      </c>
      <c r="AP41" s="2292"/>
      <c r="AQ41" s="1489">
        <f>OFFSET(AQ41,0,-2)+1</f>
        <v>4</v>
      </c>
      <c r="AR41" s="1252">
        <f>OFFSET(AR41,0,-1)</f>
        <v>4</v>
      </c>
      <c r="AS41" s="1489">
        <f>OFFSET(AS41,0,-1)+1</f>
        <v>5</v>
      </c>
      <c r="AT41" s="518"/>
      <c r="AU41" s="518"/>
      <c r="AV41" s="518"/>
      <c r="AW41" s="518"/>
      <c r="AX41" s="518"/>
      <c r="AY41" s="503">
        <v>0</v>
      </c>
    </row>
    <row customHeight="1" ht="24">
      <c r="A42" s="1370" t="s">
        <v>250</v>
      </c>
      <c r="B42" s="1370"/>
      <c r="C42" s="1370"/>
      <c r="D42" s="1370"/>
      <c r="E42" s="2278">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250</v>
      </c>
      <c r="B43" s="1370" t="s">
        <v>251</v>
      </c>
      <c r="C43" s="1370"/>
      <c r="D43" s="1370"/>
      <c r="E43" s="2279"/>
      <c r="F43" s="2278">
        <v>1</v>
      </c>
      <c r="G43" s="1370"/>
      <c r="H43" s="1370"/>
      <c r="I43" s="1370"/>
      <c r="J43" s="1370"/>
      <c r="K43" s="1370"/>
      <c r="L43" s="1371"/>
      <c r="M43" s="1372"/>
      <c r="N43" s="1372"/>
      <c r="O43" s="1372"/>
      <c r="P43" s="1494"/>
      <c r="Q43" s="359"/>
      <c r="R43" s="360"/>
      <c r="S43" s="1500" t="str">
        <f>INDEX(PT_DIFFERENTIATION_NUM_TER,MATCH(B43,PT_DIFFERENTIATION_TER_ID,0))</f>
        <v>.</v>
      </c>
      <c r="T43" s="315" t="s">
        <v>396</v>
      </c>
      <c r="U43" s="307"/>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65" t="s">
        <v>397</v>
      </c>
      <c r="AU43" s="507"/>
      <c r="AV43" s="507" t="str">
        <f>IF(T43="","",T43)</f>
        <v>Территория действия тарифа</v>
      </c>
      <c r="AW43" s="507"/>
      <c r="AX43" s="507"/>
      <c r="AY43" s="1162">
        <v>23</v>
      </c>
    </row>
    <row customHeight="1" ht="24">
      <c r="A44" s="1370" t="s">
        <v>250</v>
      </c>
      <c r="B44" s="1370" t="s">
        <v>251</v>
      </c>
      <c r="C44" s="1370" t="s">
        <v>252</v>
      </c>
      <c r="D44" s="1370"/>
      <c r="E44" s="2279"/>
      <c r="F44" s="2279"/>
      <c r="G44" s="2278">
        <v>1</v>
      </c>
      <c r="H44" s="1370"/>
      <c r="I44" s="1370"/>
      <c r="J44" s="1370"/>
      <c r="K44" s="1370"/>
      <c r="L44" s="1371"/>
      <c r="M44" s="1372"/>
      <c r="N44" s="1372"/>
      <c r="O44" s="1372"/>
      <c r="P44" s="361"/>
      <c r="Q44" s="359"/>
      <c r="R44" s="360"/>
      <c r="S44" s="1500" t="str">
        <f>INDEX(PT_DIFFERENTIATION_NUM_CS,MATCH(C44,PT_DIFFERENTIATION_CS_ID,0))</f>
        <v>..</v>
      </c>
      <c r="T44" s="316" t="s">
        <v>529</v>
      </c>
      <c r="U44" s="307"/>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65" t="s">
        <v>530</v>
      </c>
      <c r="AU44" s="507"/>
      <c r="AV44" s="507" t="str">
        <f>IF(T44="","",T44)</f>
        <v>Наименование централизованной системы горячего водоснабжения</v>
      </c>
      <c r="AW44" s="507"/>
      <c r="AX44" s="507"/>
      <c r="AY44" s="1162">
        <v>23</v>
      </c>
    </row>
    <row customHeight="1" ht="24">
      <c r="A45" s="1370" t="s">
        <v>250</v>
      </c>
      <c r="B45" s="1370" t="s">
        <v>251</v>
      </c>
      <c r="C45" s="1370" t="s">
        <v>252</v>
      </c>
      <c r="D45" s="1370" t="s">
        <v>541</v>
      </c>
      <c r="E45" s="2279"/>
      <c r="F45" s="2279"/>
      <c r="G45" s="2279"/>
      <c r="H45" s="2279"/>
      <c r="I45" s="2276" t="str">
        <f>S44&amp;".1"</f>
        <v>...1</v>
      </c>
      <c r="J45" s="1370"/>
      <c r="K45" s="1370"/>
      <c r="L45" s="1371"/>
      <c r="P45" s="2277">
        <v>1</v>
      </c>
      <c r="Q45" s="1488"/>
      <c r="R45" s="363"/>
      <c r="S45" s="1500" t="str">
        <f>$I45</f>
        <v>...1</v>
      </c>
      <c r="T45" s="292" t="s">
        <v>482</v>
      </c>
      <c r="U45" s="307"/>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65" t="s">
        <v>483</v>
      </c>
      <c r="AU45" s="507"/>
      <c r="AV45" s="507" t="str">
        <f>IF(T45="","",T45)</f>
        <v>Наименование признака дифференциации</v>
      </c>
      <c r="AW45" s="507"/>
      <c r="AX45" s="507"/>
      <c r="AY45" s="1162">
        <v>23</v>
      </c>
    </row>
    <row customHeight="1" ht="24">
      <c r="A46" s="1370" t="s">
        <v>250</v>
      </c>
      <c r="B46" s="1370" t="s">
        <v>251</v>
      </c>
      <c r="C46" s="1370" t="s">
        <v>252</v>
      </c>
      <c r="D46" s="1370" t="s">
        <v>541</v>
      </c>
      <c r="E46" s="2279"/>
      <c r="F46" s="2279"/>
      <c r="G46" s="2279"/>
      <c r="H46" s="2279"/>
      <c r="I46" s="2306"/>
      <c r="J46" s="2276" t="str">
        <f>I45&amp;".1"</f>
        <v>...1.1</v>
      </c>
      <c r="K46" s="1370"/>
      <c r="L46" s="1371" t="s">
        <v>405</v>
      </c>
      <c r="P46" s="2277"/>
      <c r="Q46" s="2277">
        <v>1</v>
      </c>
      <c r="R46" s="364"/>
      <c r="S46" s="1500" t="str">
        <f>$J46</f>
        <v>...1.1</v>
      </c>
      <c r="T46" s="293" t="s">
        <v>406</v>
      </c>
      <c r="U46" s="307"/>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14" t="s">
        <v>484</v>
      </c>
      <c r="AU46" s="507"/>
      <c r="AV46" s="507" t="str">
        <f>IF(T46="","",T46)</f>
        <v>Группа потребителей</v>
      </c>
      <c r="AW46" s="507"/>
      <c r="AX46" s="507"/>
      <c r="AY46" s="1162">
        <v>23</v>
      </c>
    </row>
    <row customHeight="1" ht="24">
      <c r="A47" s="1370" t="s">
        <v>250</v>
      </c>
      <c r="B47" s="1370" t="s">
        <v>251</v>
      </c>
      <c r="C47" s="1370" t="s">
        <v>252</v>
      </c>
      <c r="D47" s="1370" t="s">
        <v>541</v>
      </c>
      <c r="E47" s="2279"/>
      <c r="F47" s="2279"/>
      <c r="G47" s="2279"/>
      <c r="H47" s="2279"/>
      <c r="I47" s="2306"/>
      <c r="J47" s="2306"/>
      <c r="K47" s="2276" t="str">
        <f>J46&amp;".1"</f>
        <v>...1.1.1</v>
      </c>
      <c r="L47" s="1371"/>
      <c r="P47" s="2277"/>
      <c r="Q47" s="2277"/>
      <c r="R47" s="364">
        <v>1</v>
      </c>
      <c r="S47" s="1500" t="str">
        <f>$K47</f>
        <v>...1.1.1</v>
      </c>
      <c r="T47" s="1444"/>
      <c r="U47" s="307"/>
      <c r="V47" s="758"/>
      <c r="W47" s="758"/>
      <c r="X47" s="758"/>
      <c r="Y47" s="758"/>
      <c r="Z47" s="758"/>
      <c r="AA47" s="758"/>
      <c r="AB47" s="758"/>
      <c r="AC47" s="2287"/>
      <c r="AD47" s="2288" t="s">
        <v>61</v>
      </c>
      <c r="AE47" s="2287"/>
      <c r="AF47" s="2288" t="s">
        <v>61</v>
      </c>
      <c r="AG47" s="758"/>
      <c r="AH47" s="758"/>
      <c r="AI47" s="758"/>
      <c r="AJ47" s="758"/>
      <c r="AK47" s="758"/>
      <c r="AL47" s="758"/>
      <c r="AM47" s="758"/>
      <c r="AN47" s="2285"/>
      <c r="AO47" s="2127" t="s">
        <v>61</v>
      </c>
      <c r="AP47" s="2307"/>
      <c r="AQ47" s="2127" t="s">
        <v>19</v>
      </c>
      <c r="AR47" s="1445"/>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250</v>
      </c>
      <c r="B48" s="1370" t="s">
        <v>251</v>
      </c>
      <c r="C48" s="1370" t="s">
        <v>252</v>
      </c>
      <c r="D48" s="1370" t="s">
        <v>541</v>
      </c>
      <c r="E48" s="2279"/>
      <c r="F48" s="2279"/>
      <c r="G48" s="2279"/>
      <c r="H48" s="2279"/>
      <c r="I48" s="2306"/>
      <c r="J48" s="2306"/>
      <c r="K48" s="2276"/>
      <c r="L48" s="1371"/>
      <c r="P48" s="2277"/>
      <c r="Q48" s="2277"/>
      <c r="R48" s="364"/>
      <c r="S48" s="1497"/>
      <c r="T48" s="307"/>
      <c r="U48" s="307"/>
      <c r="V48" s="1367"/>
      <c r="W48" s="1367"/>
      <c r="X48" s="1367"/>
      <c r="Y48" s="1367"/>
      <c r="Z48" s="1367"/>
      <c r="AA48" s="1367"/>
      <c r="AB48" s="1367"/>
      <c r="AC48" s="2288"/>
      <c r="AD48" s="2288"/>
      <c r="AE48" s="2288"/>
      <c r="AF48" s="2288"/>
      <c r="AG48" s="332"/>
      <c r="AH48" s="332"/>
      <c r="AI48" s="332"/>
      <c r="AJ48" s="332"/>
      <c r="AK48" s="332"/>
      <c r="AL48" s="332"/>
      <c r="AM48" s="332"/>
      <c r="AN48" s="2286"/>
      <c r="AO48" s="2127"/>
      <c r="AP48" s="2308"/>
      <c r="AQ48" s="2127"/>
      <c r="AR48" s="1446"/>
      <c r="AS48" s="2369"/>
      <c r="AU48" s="507"/>
      <c r="AV48" s="507" t="str">
        <f>IF(T48="","",T48)</f>
        <v/>
      </c>
      <c r="AW48" s="507"/>
      <c r="AX48" s="507"/>
      <c r="AY48" s="1162">
        <v>0</v>
      </c>
    </row>
    <row customHeight="1" ht="21">
      <c r="A49" s="1370" t="s">
        <v>250</v>
      </c>
      <c r="B49" s="1370" t="s">
        <v>251</v>
      </c>
      <c r="C49" s="1370" t="s">
        <v>252</v>
      </c>
      <c r="D49" s="1370" t="s">
        <v>541</v>
      </c>
      <c r="E49" s="2279"/>
      <c r="F49" s="2279"/>
      <c r="G49" s="2279"/>
      <c r="H49" s="2279"/>
      <c r="I49" s="2306"/>
      <c r="J49" s="2276"/>
      <c r="K49" s="1370"/>
      <c r="L49" s="1371"/>
      <c r="P49" s="2277"/>
      <c r="Q49" s="2277"/>
      <c r="R49" s="363"/>
      <c r="S49" s="1285"/>
      <c r="T49" s="294" t="s">
        <v>485</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486</v>
      </c>
      <c r="AU49" s="507"/>
      <c r="AV49" s="507" t="str">
        <f>IF(T49="","",T49)</f>
        <v>Добавить значение признака дифференциации</v>
      </c>
      <c r="AW49" s="507"/>
      <c r="AX49" s="507"/>
      <c r="AY49" s="1162">
        <v>20</v>
      </c>
    </row>
    <row customHeight="1" ht="22.049999999999997">
      <c r="A50" s="1370" t="s">
        <v>250</v>
      </c>
      <c r="B50" s="1370" t="s">
        <v>251</v>
      </c>
      <c r="C50" s="1370" t="s">
        <v>252</v>
      </c>
      <c r="D50" s="1370" t="s">
        <v>541</v>
      </c>
      <c r="E50" s="2279"/>
      <c r="F50" s="2279"/>
      <c r="G50" s="2279"/>
      <c r="H50" s="2279"/>
      <c r="I50" s="2276"/>
      <c r="J50" s="1370"/>
      <c r="K50" s="1370"/>
      <c r="L50" s="1371"/>
      <c r="P50" s="2277"/>
      <c r="Q50" s="1488"/>
      <c r="R50" s="363"/>
      <c r="S50" s="1285"/>
      <c r="T50" s="372" t="s">
        <v>411</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250</v>
      </c>
      <c r="B51" s="1370" t="s">
        <v>251</v>
      </c>
      <c r="C51" s="1370" t="s">
        <v>252</v>
      </c>
      <c r="D51" s="1370" t="s">
        <v>541</v>
      </c>
      <c r="E51" s="2279"/>
      <c r="F51" s="2279"/>
      <c r="G51" s="2279"/>
      <c r="H51" s="2278"/>
      <c r="I51" s="1370"/>
      <c r="J51" s="1370"/>
      <c r="K51" s="1370"/>
      <c r="L51" s="1371"/>
      <c r="M51" s="1372"/>
      <c r="N51" s="1372"/>
      <c r="O51" s="544"/>
      <c r="P51" s="367"/>
      <c r="Q51" s="382"/>
      <c r="R51" s="362"/>
      <c r="S51" s="1285"/>
      <c r="T51" s="379" t="s">
        <v>487</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250</v>
      </c>
      <c r="B52" s="1350" t="s">
        <v>251</v>
      </c>
      <c r="C52" s="1321"/>
      <c r="D52" s="1321"/>
      <c r="E52" s="2279"/>
      <c r="F52" s="2278"/>
      <c r="G52" s="1321"/>
      <c r="H52" s="1321"/>
      <c r="I52" s="1321"/>
      <c r="J52" s="1321"/>
      <c r="K52" s="1321"/>
      <c r="L52" s="1501"/>
      <c r="M52" s="1328"/>
      <c r="N52" s="1328"/>
      <c r="P52" s="1323"/>
      <c r="Q52" s="1324"/>
      <c r="R52" s="1323"/>
      <c r="S52" s="1329"/>
      <c r="T52" s="1332" t="s">
        <v>414</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250</v>
      </c>
      <c r="B53" s="1350"/>
      <c r="C53" s="1350"/>
      <c r="D53" s="1350"/>
      <c r="E53" s="2278"/>
      <c r="F53" s="1350"/>
      <c r="G53" s="1350"/>
      <c r="H53" s="1350"/>
      <c r="I53" s="1350"/>
      <c r="J53" s="1350"/>
      <c r="K53" s="1350"/>
      <c r="L53" s="1353"/>
      <c r="M53" s="1328"/>
      <c r="N53" s="1328"/>
      <c r="O53" s="525"/>
      <c r="P53" s="387"/>
      <c r="Q53" s="1351"/>
      <c r="R53" s="387"/>
      <c r="S53" s="1329"/>
      <c r="T53" s="1332" t="s">
        <v>415</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447</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62">
        <v>14</v>
      </c>
    </row>
    <row customHeight="1" ht="14.699999999999998">
      <c r="O57" s="544"/>
      <c r="AY57" s="1162">
        <v>14</v>
      </c>
    </row>
    <row customHeight="1" ht="14.699999999999998">
      <c r="O58" s="544"/>
      <c r="S58" s="1260"/>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54C4E-2DA4-D2CC-D005-0.D4FCCF4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78">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79"/>
      <c r="F3" s="2278">
        <v>1</v>
      </c>
      <c r="G3" s="1370"/>
      <c r="H3" s="1370"/>
      <c r="I3" s="1370"/>
      <c r="J3" s="1370"/>
      <c r="K3" s="1370"/>
      <c r="L3" s="1371"/>
      <c r="M3" s="1372"/>
      <c r="N3" s="1372"/>
      <c r="O3" s="1372"/>
      <c r="P3" s="1494"/>
      <c r="Q3" s="359"/>
      <c r="R3" s="360"/>
      <c r="S3" s="1500">
        <f>INDEX(PT_DIFFERENTIATION_NUM_TER,MATCH(B3,PT_DIFFERENTIATION_TER_ID,0))</f>
      </c>
      <c r="T3" s="315" t="s">
        <v>396</v>
      </c>
      <c r="U3" s="307"/>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65" t="s">
        <v>397</v>
      </c>
      <c r="AU3" s="507"/>
      <c r="AV3" s="507" t="str">
        <f>IF(T3="","",T3)</f>
        <v>Территория действия тарифа</v>
      </c>
      <c r="AW3" s="507"/>
      <c r="AX3" s="507"/>
      <c r="AY3" s="1162">
        <v>0</v>
      </c>
    </row>
    <row customHeight="1" ht="23.25" hidden="1">
      <c r="A4" s="1370"/>
      <c r="B4" s="1370"/>
      <c r="C4" s="1370"/>
      <c r="D4" s="1370"/>
      <c r="E4" s="2279"/>
      <c r="F4" s="2279"/>
      <c r="G4" s="2278">
        <v>1</v>
      </c>
      <c r="H4" s="1370"/>
      <c r="I4" s="1370"/>
      <c r="J4" s="1370"/>
      <c r="K4" s="1370"/>
      <c r="L4" s="1371"/>
      <c r="M4" s="1372"/>
      <c r="N4" s="1372"/>
      <c r="O4" s="1372"/>
      <c r="P4" s="361"/>
      <c r="Q4" s="359"/>
      <c r="R4" s="360"/>
      <c r="S4" s="1500">
        <f>INDEX(PT_DIFFERENTIATION_NUM_CS,MATCH(C4,PT_DIFFERENTIATION_CS_ID,0))</f>
      </c>
      <c r="T4" s="316" t="s">
        <v>529</v>
      </c>
      <c r="U4" s="307"/>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65" t="s">
        <v>530</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79"/>
      <c r="F5" s="2279"/>
      <c r="G5" s="2279"/>
      <c r="H5" s="2279"/>
      <c r="I5" s="2276">
        <f>S4&amp;".1"</f>
      </c>
      <c r="J5" s="1370"/>
      <c r="K5" s="1370"/>
      <c r="L5" s="1371"/>
      <c r="P5" s="2277">
        <v>1</v>
      </c>
      <c r="Q5" s="1488"/>
      <c r="R5" s="363"/>
      <c r="S5" s="1500">
        <f>$I5</f>
      </c>
      <c r="T5" s="292" t="s">
        <v>482</v>
      </c>
      <c r="U5" s="307"/>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65" t="s">
        <v>483</v>
      </c>
      <c r="AU5" s="507"/>
      <c r="AV5" s="507" t="str">
        <f>IF(T5="","",T5)</f>
        <v>Наименование признака дифференциации</v>
      </c>
      <c r="AW5" s="507"/>
      <c r="AX5" s="507"/>
      <c r="AY5" s="1162">
        <v>0</v>
      </c>
    </row>
    <row customHeight="1" ht="23.25" hidden="1">
      <c r="A6" s="1370"/>
      <c r="B6" s="1370"/>
      <c r="C6" s="1370"/>
      <c r="D6" s="1370"/>
      <c r="E6" s="2279"/>
      <c r="F6" s="2279"/>
      <c r="G6" s="2279"/>
      <c r="H6" s="2279"/>
      <c r="I6" s="2306"/>
      <c r="J6" s="2276">
        <f>I5&amp;".1"</f>
      </c>
      <c r="K6" s="1370"/>
      <c r="L6" s="1371" t="s">
        <v>405</v>
      </c>
      <c r="P6" s="2277"/>
      <c r="Q6" s="2277">
        <v>1</v>
      </c>
      <c r="R6" s="364"/>
      <c r="S6" s="1500">
        <f>$J6</f>
      </c>
      <c r="T6" s="293" t="s">
        <v>406</v>
      </c>
      <c r="U6" s="307"/>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14" t="s">
        <v>484</v>
      </c>
      <c r="AU6" s="507"/>
      <c r="AV6" s="507" t="str">
        <f>IF(T6="","",T6)</f>
        <v>Группа потребителей</v>
      </c>
      <c r="AW6" s="507"/>
      <c r="AX6" s="507"/>
      <c r="AY6" s="1162">
        <v>0</v>
      </c>
    </row>
    <row customHeight="1" ht="23.25" hidden="1">
      <c r="A7" s="1370"/>
      <c r="B7" s="1370"/>
      <c r="C7" s="1370"/>
      <c r="D7" s="1370"/>
      <c r="E7" s="2279"/>
      <c r="F7" s="2279"/>
      <c r="G7" s="2279"/>
      <c r="H7" s="2279"/>
      <c r="I7" s="2306"/>
      <c r="J7" s="2306"/>
      <c r="K7" s="2276">
        <f>J6&amp;".1"</f>
      </c>
      <c r="L7" s="1371"/>
      <c r="P7" s="2277"/>
      <c r="Q7" s="2277"/>
      <c r="R7" s="364">
        <v>1</v>
      </c>
      <c r="S7" s="1500">
        <f>$K7</f>
      </c>
      <c r="T7" s="1444"/>
      <c r="U7" s="307"/>
      <c r="V7" s="758"/>
      <c r="W7" s="758"/>
      <c r="X7" s="758"/>
      <c r="Y7" s="758"/>
      <c r="Z7" s="758"/>
      <c r="AA7" s="758"/>
      <c r="AB7" s="1264"/>
      <c r="AC7" s="2285"/>
      <c r="AD7" s="2127" t="s">
        <v>61</v>
      </c>
      <c r="AE7" s="2285"/>
      <c r="AF7" s="2127" t="s">
        <v>61</v>
      </c>
      <c r="AG7" s="758"/>
      <c r="AH7" s="758"/>
      <c r="AI7" s="758"/>
      <c r="AJ7" s="758"/>
      <c r="AK7" s="758"/>
      <c r="AL7" s="758"/>
      <c r="AM7" s="1264"/>
      <c r="AN7" s="2285"/>
      <c r="AO7" s="2127" t="s">
        <v>61</v>
      </c>
      <c r="AP7" s="2307"/>
      <c r="AQ7" s="2127" t="s">
        <v>61</v>
      </c>
      <c r="AR7" s="1445"/>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79"/>
      <c r="F8" s="2279"/>
      <c r="G8" s="2279"/>
      <c r="H8" s="2279"/>
      <c r="I8" s="2306"/>
      <c r="J8" s="2306"/>
      <c r="K8" s="2276"/>
      <c r="L8" s="1371"/>
      <c r="P8" s="2277"/>
      <c r="Q8" s="2277"/>
      <c r="R8" s="364"/>
      <c r="S8" s="1497"/>
      <c r="T8" s="307"/>
      <c r="U8" s="307"/>
      <c r="V8" s="332"/>
      <c r="W8" s="332"/>
      <c r="X8" s="332"/>
      <c r="Y8" s="332"/>
      <c r="Z8" s="332"/>
      <c r="AA8" s="332"/>
      <c r="AB8" s="335" t="str">
        <f>AC7&amp;"-"&amp;AE7</f>
        <v>-</v>
      </c>
      <c r="AC8" s="2286"/>
      <c r="AD8" s="2127"/>
      <c r="AE8" s="2286"/>
      <c r="AF8" s="2127"/>
      <c r="AG8" s="332"/>
      <c r="AH8" s="332"/>
      <c r="AI8" s="332"/>
      <c r="AJ8" s="332"/>
      <c r="AK8" s="332"/>
      <c r="AL8" s="332"/>
      <c r="AM8" s="335" t="str">
        <f>AN7&amp;"-"&amp;AP7</f>
        <v>-</v>
      </c>
      <c r="AN8" s="2286"/>
      <c r="AO8" s="2127"/>
      <c r="AP8" s="2308"/>
      <c r="AQ8" s="2127"/>
      <c r="AR8" s="1446"/>
      <c r="AS8" s="2369"/>
      <c r="AU8" s="507"/>
      <c r="AV8" s="507" t="str">
        <f>IF(T8="","",T8)</f>
        <v/>
      </c>
      <c r="AW8" s="507"/>
      <c r="AX8" s="507"/>
      <c r="AY8" s="1162">
        <v>0</v>
      </c>
    </row>
    <row customHeight="1" ht="21" hidden="1">
      <c r="A9" s="1370"/>
      <c r="B9" s="1370"/>
      <c r="C9" s="1370"/>
      <c r="D9" s="1370"/>
      <c r="E9" s="2279"/>
      <c r="F9" s="2279"/>
      <c r="G9" s="2279"/>
      <c r="H9" s="2279"/>
      <c r="I9" s="2306"/>
      <c r="J9" s="2276"/>
      <c r="K9" s="1370"/>
      <c r="L9" s="1371"/>
      <c r="P9" s="2277"/>
      <c r="Q9" s="2277"/>
      <c r="R9" s="363"/>
      <c r="S9" s="1285"/>
      <c r="T9" s="294" t="s">
        <v>485</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486</v>
      </c>
      <c r="AU9" s="507"/>
      <c r="AV9" s="507" t="str">
        <f>IF(T9="","",T9)</f>
        <v>Добавить значение признака дифференциации</v>
      </c>
      <c r="AW9" s="507"/>
      <c r="AX9" s="507"/>
      <c r="AY9" s="1162">
        <v>0</v>
      </c>
    </row>
    <row customHeight="1" ht="21" hidden="1">
      <c r="A10" s="1370"/>
      <c r="B10" s="1370"/>
      <c r="C10" s="1370"/>
      <c r="D10" s="1370"/>
      <c r="E10" s="2279"/>
      <c r="F10" s="2279"/>
      <c r="G10" s="2279"/>
      <c r="H10" s="2279"/>
      <c r="I10" s="2276"/>
      <c r="J10" s="1370"/>
      <c r="K10" s="1370"/>
      <c r="L10" s="1371"/>
      <c r="P10" s="2277"/>
      <c r="Q10" s="1488"/>
      <c r="R10" s="363"/>
      <c r="S10" s="1285"/>
      <c r="T10" s="372" t="s">
        <v>411</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79"/>
      <c r="F11" s="2279"/>
      <c r="G11" s="2279"/>
      <c r="H11" s="2278"/>
      <c r="I11" s="1370"/>
      <c r="J11" s="1370"/>
      <c r="K11" s="1370"/>
      <c r="L11" s="1371"/>
      <c r="M11" s="1372"/>
      <c r="N11" s="1372"/>
      <c r="O11" s="544"/>
      <c r="P11" s="367"/>
      <c r="Q11" s="382"/>
      <c r="R11" s="362"/>
      <c r="S11" s="1285"/>
      <c r="T11" s="379" t="s">
        <v>487</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79"/>
      <c r="F12" s="2278"/>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78"/>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87"/>
      <c r="AO15" s="2288" t="s">
        <v>61</v>
      </c>
      <c r="AP15" s="2287"/>
      <c r="AQ15" s="2288" t="s">
        <v>61</v>
      </c>
      <c r="AY15" s="1162">
        <v>0</v>
      </c>
    </row>
    <row customHeight="1" ht="14.25" hidden="1">
      <c r="AG16" s="1367"/>
      <c r="AH16" s="1367"/>
      <c r="AI16" s="1367"/>
      <c r="AJ16" s="1367"/>
      <c r="AK16" s="1367"/>
      <c r="AL16" s="1367"/>
      <c r="AM16" s="335" t="str">
        <f>AN15&amp;"-"&amp;AP15</f>
        <v>-</v>
      </c>
      <c r="AN16" s="2288"/>
      <c r="AO16" s="2288"/>
      <c r="AP16" s="2288"/>
      <c r="AQ16" s="2288"/>
      <c r="AY16" s="1162">
        <v>0</v>
      </c>
    </row>
    <row customHeight="1" ht="14.25" hidden="1">
      <c r="AQ17" s="334"/>
      <c r="AY17" s="1162">
        <v>0</v>
      </c>
    </row>
    <row s="1373" customFormat="1" customHeight="1" ht="22.5" hidden="1">
      <c r="L18" s="1485"/>
      <c r="M18" s="1369"/>
      <c r="N18" s="1369"/>
      <c r="O18" s="1374" t="s">
        <v>416</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417</v>
      </c>
      <c r="P20" s="1369"/>
      <c r="Q20" s="1449"/>
      <c r="R20" s="1449"/>
      <c r="S20" s="736"/>
      <c r="T20" s="1167" t="s">
        <v>418</v>
      </c>
      <c r="W20" s="1373"/>
      <c r="X20" s="1373"/>
      <c r="Y20" s="1373"/>
      <c r="Z20" s="1373"/>
      <c r="AA20" s="1373"/>
      <c r="AD20" s="193" t="s">
        <v>419</v>
      </c>
      <c r="AF20" s="193" t="s">
        <v>420</v>
      </c>
      <c r="AG20" s="1167" t="s">
        <v>418</v>
      </c>
      <c r="AH20" s="1373"/>
      <c r="AI20" s="1373"/>
      <c r="AJ20" s="1373"/>
      <c r="AK20" s="1373"/>
      <c r="AL20" s="1373"/>
      <c r="AO20" s="193" t="s">
        <v>421</v>
      </c>
      <c r="AQ20" s="193" t="s">
        <v>420</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50"/>
      <c r="AY24" s="1162">
        <v>25</v>
      </c>
    </row>
    <row customHeight="1" ht="14.699999999999998">
      <c r="Q25" s="383"/>
      <c r="R25" s="383"/>
      <c r="S25" s="2269" t="str">
        <f>IF(org=0,"Не определено",org)</f>
        <v>ИМУП «ПОСЖИЛКОМСЕРВИС»</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57" customFormat="1" customHeight="1" ht="25.5" hidden="1">
      <c r="A27" s="1375"/>
      <c r="B27" s="1375"/>
      <c r="C27" s="1375"/>
      <c r="D27" s="1375"/>
      <c r="E27" s="1375"/>
      <c r="F27" s="1375"/>
      <c r="G27" s="1375"/>
      <c r="H27" s="1375"/>
      <c r="I27" s="1375"/>
      <c r="J27" s="1375"/>
      <c r="K27" s="1375"/>
      <c r="L27" s="1376"/>
      <c r="M27" s="1375"/>
      <c r="N27" s="1375"/>
      <c r="O27" s="1375"/>
      <c r="S27" s="2270" t="s">
        <v>41</v>
      </c>
      <c r="T27" s="2270"/>
      <c r="U27" s="1379"/>
      <c r="V27" s="2271" t="str">
        <f>IF(TITLE_NAME_OR_PR_CHANGE="",IF(TITLE_NAME_OR_PR="","",TITLE_NAME_OR_PR),TITLE_NAME_OR_PR_CHANGE)</f>
        <v/>
      </c>
      <c r="W27" s="2271"/>
      <c r="X27" s="2271"/>
      <c r="Y27" s="2271"/>
      <c r="Z27" s="2271"/>
      <c r="AA27" s="2271"/>
      <c r="AB27" s="2271"/>
      <c r="AC27" s="2271"/>
      <c r="AD27" s="2271"/>
      <c r="AE27" s="2271"/>
      <c r="AF27" s="333"/>
      <c r="AG27" s="2271" t="str">
        <f>IF(TITLE_NAME_OR_PR_CHANGE="",IF(TITLE_NAME_OR_PR="","",TITLE_NAME_OR_PR),TITLE_NAME_OR_PR_CHANGE)</f>
        <v/>
      </c>
      <c r="AH27" s="2271"/>
      <c r="AI27" s="2271"/>
      <c r="AJ27" s="2271"/>
      <c r="AK27" s="2271"/>
      <c r="AL27" s="2271"/>
      <c r="AM27" s="2271"/>
      <c r="AN27" s="2271"/>
      <c r="AO27" s="2271"/>
      <c r="AP27" s="2271"/>
      <c r="AQ27" s="333"/>
      <c r="AR27" s="333"/>
      <c r="AS27" s="287"/>
      <c r="AT27" s="375"/>
      <c r="AU27" s="375"/>
      <c r="AV27" s="375"/>
      <c r="AW27" s="375"/>
      <c r="AX27" s="375"/>
      <c r="AY27" s="425">
        <v>0</v>
      </c>
    </row>
    <row s="1857" customFormat="1" customHeight="1" ht="18.75" hidden="1">
      <c r="A28" s="1375"/>
      <c r="B28" s="1375"/>
      <c r="C28" s="1375"/>
      <c r="D28" s="1375"/>
      <c r="E28" s="1375"/>
      <c r="F28" s="1375"/>
      <c r="G28" s="1375"/>
      <c r="H28" s="1375"/>
      <c r="I28" s="1375"/>
      <c r="J28" s="1375"/>
      <c r="K28" s="1375"/>
      <c r="L28" s="1376"/>
      <c r="M28" s="1375"/>
      <c r="N28" s="1375"/>
      <c r="O28" s="1375"/>
      <c r="S28" s="2270" t="s">
        <v>422</v>
      </c>
      <c r="T28" s="2270"/>
      <c r="U28" s="1379"/>
      <c r="V28" s="2284" t="str">
        <f>IF(TITLE_DATE_PR_CHANGE="",IF(TITLE_DATE_PR="","",TITLE_DATE_PR),TITLE_DATE_PR_CHANGE)</f>
        <v/>
      </c>
      <c r="W28" s="2284"/>
      <c r="X28" s="2284"/>
      <c r="Y28" s="2284"/>
      <c r="Z28" s="2284"/>
      <c r="AA28" s="2284"/>
      <c r="AB28" s="2284"/>
      <c r="AC28" s="2284"/>
      <c r="AD28" s="2284"/>
      <c r="AE28" s="2284"/>
      <c r="AF28" s="333"/>
      <c r="AG28" s="2284" t="str">
        <f>IF(TITLE_DATE_PR_CHANGE="",IF(TITLE_DATE_PR="","",TITLE_DATE_PR),TITLE_DATE_PR_CHANGE)</f>
        <v/>
      </c>
      <c r="AH28" s="2284"/>
      <c r="AI28" s="2284"/>
      <c r="AJ28" s="2284"/>
      <c r="AK28" s="2284"/>
      <c r="AL28" s="2284"/>
      <c r="AM28" s="2284"/>
      <c r="AN28" s="2284"/>
      <c r="AO28" s="2284"/>
      <c r="AP28" s="2284"/>
      <c r="AQ28" s="333"/>
      <c r="AR28" s="333"/>
      <c r="AS28" s="287"/>
      <c r="AT28" s="375"/>
      <c r="AU28" s="375"/>
      <c r="AV28" s="375"/>
      <c r="AW28" s="375"/>
      <c r="AX28" s="375"/>
      <c r="AY28" s="425">
        <v>0</v>
      </c>
    </row>
    <row s="1857" customFormat="1" customHeight="1" ht="18.75" hidden="1">
      <c r="A29" s="1375"/>
      <c r="B29" s="1375"/>
      <c r="C29" s="1375"/>
      <c r="D29" s="1375"/>
      <c r="E29" s="1375"/>
      <c r="F29" s="1375"/>
      <c r="G29" s="1375"/>
      <c r="H29" s="1375"/>
      <c r="I29" s="1375"/>
      <c r="J29" s="1375"/>
      <c r="K29" s="1375"/>
      <c r="L29" s="1376"/>
      <c r="M29" s="1375"/>
      <c r="N29" s="1375"/>
      <c r="O29" s="1375"/>
      <c r="S29" s="2270" t="s">
        <v>423</v>
      </c>
      <c r="T29" s="2270"/>
      <c r="U29" s="1379"/>
      <c r="V29" s="2271" t="str">
        <f>IF(TITLE_NUMBER_PR_CHANGE="",IF(TITLE_NUMBER_PR="","",TITLE_NUMBER_PR),TITLE_NUMBER_PR_CHANGE)</f>
        <v/>
      </c>
      <c r="W29" s="2271"/>
      <c r="X29" s="2271"/>
      <c r="Y29" s="2271"/>
      <c r="Z29" s="2271"/>
      <c r="AA29" s="2271"/>
      <c r="AB29" s="2271"/>
      <c r="AC29" s="2271"/>
      <c r="AD29" s="2271"/>
      <c r="AE29" s="2271"/>
      <c r="AF29" s="333"/>
      <c r="AG29" s="2271" t="str">
        <f>IF(TITLE_NUMBER_PR_CHANGE="",IF(TITLE_NUMBER_PR="","",TITLE_NUMBER_PR),TITLE_NUMBER_PR_CHANGE)</f>
        <v/>
      </c>
      <c r="AH29" s="2271"/>
      <c r="AI29" s="2271"/>
      <c r="AJ29" s="2271"/>
      <c r="AK29" s="2271"/>
      <c r="AL29" s="2271"/>
      <c r="AM29" s="2271"/>
      <c r="AN29" s="2271"/>
      <c r="AO29" s="2271"/>
      <c r="AP29" s="2271"/>
      <c r="AQ29" s="333"/>
      <c r="AR29" s="333"/>
      <c r="AS29" s="287"/>
      <c r="AT29" s="375"/>
      <c r="AU29" s="375"/>
      <c r="AV29" s="375"/>
      <c r="AW29" s="375"/>
      <c r="AX29" s="375"/>
      <c r="AY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v>
      </c>
      <c r="T30" s="2270"/>
      <c r="U30" s="1379"/>
      <c r="V30" s="2271" t="str">
        <f>IF(TITLE_IST_PUB_CHANGE="",IF(TITLE_IST_PUB="","",TITLE_IST_PUB),TITLE_IST_PUB_CHANGE)</f>
        <v/>
      </c>
      <c r="W30" s="2271"/>
      <c r="X30" s="2271"/>
      <c r="Y30" s="2271"/>
      <c r="Z30" s="2271"/>
      <c r="AA30" s="2271"/>
      <c r="AB30" s="2271"/>
      <c r="AC30" s="2271"/>
      <c r="AD30" s="2271"/>
      <c r="AE30" s="2271"/>
      <c r="AF30" s="333"/>
      <c r="AG30" s="2271" t="str">
        <f>IF(TITLE_IST_PUB_CHANGE="",IF(TITLE_IST_PUB="","",TITLE_IST_PUB),TITLE_IST_PUB_CHANGE)</f>
        <v/>
      </c>
      <c r="AH30" s="2271"/>
      <c r="AI30" s="2271"/>
      <c r="AJ30" s="2271"/>
      <c r="AK30" s="2271"/>
      <c r="AL30" s="2271"/>
      <c r="AM30" s="2271"/>
      <c r="AN30" s="2271"/>
      <c r="AO30" s="2271"/>
      <c r="AP30" s="2271"/>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57" customFormat="1" customHeight="1" ht="18.75" hidden="1">
      <c r="A32" s="1375"/>
      <c r="B32" s="1375"/>
      <c r="C32" s="1375"/>
      <c r="D32" s="1375"/>
      <c r="E32" s="1375"/>
      <c r="F32" s="1375"/>
      <c r="G32" s="1375"/>
      <c r="H32" s="1375"/>
      <c r="I32" s="1375"/>
      <c r="J32" s="1375"/>
      <c r="K32" s="1375"/>
      <c r="L32" s="1376"/>
      <c r="M32" s="1375"/>
      <c r="N32" s="1375"/>
      <c r="O32" s="1375"/>
      <c r="S32" s="2270" t="s">
        <v>424</v>
      </c>
      <c r="T32" s="2270"/>
      <c r="U32" s="1379"/>
      <c r="V32" s="2284" t="str">
        <f>IF(TITLE_DATE_PR_CHANGE="",IF(TITLE_DATE_PR="","",TITLE_DATE_PR),TITLE_DATE_PR_CHANGE)</f>
        <v/>
      </c>
      <c r="W32" s="2284"/>
      <c r="X32" s="2284"/>
      <c r="Y32" s="2284"/>
      <c r="Z32" s="2284"/>
      <c r="AA32" s="2284"/>
      <c r="AB32" s="2284"/>
      <c r="AC32" s="2284"/>
      <c r="AD32" s="2284"/>
      <c r="AE32" s="2284"/>
      <c r="AF32" s="333"/>
      <c r="AG32" s="2284" t="str">
        <f>IF(TITLE_DATE_PR_CHANGE="",IF(TITLE_DATE_PR="","",TITLE_DATE_PR),TITLE_DATE_PR_CHANGE)</f>
        <v/>
      </c>
      <c r="AH32" s="2284"/>
      <c r="AI32" s="2284"/>
      <c r="AJ32" s="2284"/>
      <c r="AK32" s="2284"/>
      <c r="AL32" s="2284"/>
      <c r="AM32" s="2284"/>
      <c r="AN32" s="2284"/>
      <c r="AO32" s="2284"/>
      <c r="AP32" s="2284"/>
      <c r="AQ32" s="333"/>
      <c r="AR32" s="333"/>
      <c r="AS32" s="287"/>
      <c r="AT32" s="375"/>
      <c r="AU32" s="375"/>
      <c r="AV32" s="375"/>
      <c r="AW32" s="375"/>
      <c r="AX32" s="375"/>
      <c r="AY32" s="425">
        <v>0</v>
      </c>
    </row>
    <row s="1857" customFormat="1" customHeight="1" ht="18.75" hidden="1">
      <c r="A33" s="1375"/>
      <c r="B33" s="1375"/>
      <c r="C33" s="1375"/>
      <c r="D33" s="1375"/>
      <c r="E33" s="1375"/>
      <c r="F33" s="1375"/>
      <c r="G33" s="1375"/>
      <c r="H33" s="1375"/>
      <c r="I33" s="1375"/>
      <c r="J33" s="1375"/>
      <c r="K33" s="1375"/>
      <c r="L33" s="1376"/>
      <c r="M33" s="1375"/>
      <c r="N33" s="1375"/>
      <c r="O33" s="1375"/>
      <c r="S33" s="2270" t="s">
        <v>425</v>
      </c>
      <c r="T33" s="2270"/>
      <c r="U33" s="1379"/>
      <c r="V33" s="2271" t="str">
        <f>IF(TITLE_NUMBER_PR_CHANGE="",IF(TITLE_NUMBER_PR="","",TITLE_NUMBER_PR),TITLE_NUMBER_PR_CHANGE)</f>
        <v/>
      </c>
      <c r="W33" s="2271"/>
      <c r="X33" s="2271"/>
      <c r="Y33" s="2271"/>
      <c r="Z33" s="2271"/>
      <c r="AA33" s="2271"/>
      <c r="AB33" s="2271"/>
      <c r="AC33" s="2271"/>
      <c r="AD33" s="2271"/>
      <c r="AE33" s="2271"/>
      <c r="AF33" s="333"/>
      <c r="AG33" s="2271" t="str">
        <f>IF(TITLE_NUMBER_PR_CHANGE="",IF(TITLE_NUMBER_PR="","",TITLE_NUMBER_PR),TITLE_NUMBER_PR_CHANGE)</f>
        <v/>
      </c>
      <c r="AH33" s="2271"/>
      <c r="AI33" s="2271"/>
      <c r="AJ33" s="2271"/>
      <c r="AK33" s="2271"/>
      <c r="AL33" s="2271"/>
      <c r="AM33" s="2271"/>
      <c r="AN33" s="2271"/>
      <c r="AO33" s="2271"/>
      <c r="AP33" s="2271"/>
      <c r="AQ33" s="333"/>
      <c r="AR33" s="333"/>
      <c r="AS33" s="287"/>
      <c r="AT33" s="375"/>
      <c r="AU33" s="375"/>
      <c r="AV33" s="375"/>
      <c r="AW33" s="375"/>
      <c r="AX33" s="375"/>
      <c r="AY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426</v>
      </c>
      <c r="AG34" s="333"/>
      <c r="AH34" s="1642"/>
      <c r="AI34" s="1642"/>
      <c r="AJ34" s="1642"/>
      <c r="AK34" s="1642"/>
      <c r="AL34" s="1642"/>
      <c r="AM34" s="333"/>
      <c r="AN34" s="333"/>
      <c r="AO34" s="333"/>
      <c r="AP34" s="333"/>
      <c r="AQ34" s="285" t="s">
        <v>426</v>
      </c>
      <c r="AT34" s="375"/>
      <c r="AU34" s="375"/>
      <c r="AV34" s="375"/>
      <c r="AW34" s="375"/>
      <c r="AX34" s="375"/>
      <c r="AY34" s="425">
        <v>1</v>
      </c>
    </row>
    <row customHeight="1" ht="14.699999999999998">
      <c r="Q35" s="383"/>
      <c r="R35" s="383"/>
      <c r="S35" s="1282"/>
      <c r="T35" s="370"/>
      <c r="U35" s="1251"/>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62">
        <v>14</v>
      </c>
    </row>
    <row customHeight="1" ht="14.699999999999998">
      <c r="Q36" s="383"/>
      <c r="R36" s="383"/>
      <c r="S36" s="2147" t="s">
        <v>299</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300</v>
      </c>
      <c r="AY36" s="1162">
        <v>14</v>
      </c>
    </row>
    <row customHeight="1" ht="14.699999999999998">
      <c r="Q37" s="383"/>
      <c r="R37" s="383"/>
      <c r="S37" s="2293" t="s">
        <v>87</v>
      </c>
      <c r="T37" s="2229" t="s">
        <v>427</v>
      </c>
      <c r="U37" s="308"/>
      <c r="V37" s="2294" t="s">
        <v>428</v>
      </c>
      <c r="W37" s="2295"/>
      <c r="X37" s="2295"/>
      <c r="Y37" s="2295"/>
      <c r="Z37" s="2295"/>
      <c r="AA37" s="2295"/>
      <c r="AB37" s="2295"/>
      <c r="AC37" s="2295"/>
      <c r="AD37" s="2295"/>
      <c r="AE37" s="2296"/>
      <c r="AF37" s="2297" t="s">
        <v>429</v>
      </c>
      <c r="AG37" s="2294" t="s">
        <v>428</v>
      </c>
      <c r="AH37" s="2295"/>
      <c r="AI37" s="2295"/>
      <c r="AJ37" s="2295"/>
      <c r="AK37" s="2295"/>
      <c r="AL37" s="2295"/>
      <c r="AM37" s="2295"/>
      <c r="AN37" s="2295"/>
      <c r="AO37" s="2295"/>
      <c r="AP37" s="2296"/>
      <c r="AQ37" s="2297" t="s">
        <v>430</v>
      </c>
      <c r="AR37" s="2300" t="s">
        <v>431</v>
      </c>
      <c r="AS37" s="2147"/>
      <c r="AY37" s="1162">
        <v>14</v>
      </c>
    </row>
    <row s="1642" customFormat="1" customHeight="1" ht="19.95">
      <c r="A38" s="1373"/>
      <c r="B38" s="1373"/>
      <c r="C38" s="1373"/>
      <c r="D38" s="1373"/>
      <c r="E38" s="1373"/>
      <c r="F38" s="1373"/>
      <c r="G38" s="1373"/>
      <c r="H38" s="1373"/>
      <c r="I38" s="1373"/>
      <c r="J38" s="1373"/>
      <c r="K38" s="1373"/>
      <c r="L38" s="1984"/>
      <c r="M38" s="1369"/>
      <c r="N38" s="1369"/>
      <c r="O38" s="1369"/>
      <c r="P38" s="1985"/>
      <c r="Q38" s="383"/>
      <c r="R38" s="383"/>
      <c r="S38" s="2293"/>
      <c r="T38" s="2229"/>
      <c r="U38" s="1038"/>
      <c r="V38" s="2386" t="s">
        <v>531</v>
      </c>
      <c r="W38" s="2385" t="s">
        <v>532</v>
      </c>
      <c r="X38" s="2385"/>
      <c r="Y38" s="2385"/>
      <c r="Z38" s="2385" t="s">
        <v>533</v>
      </c>
      <c r="AA38" s="2385"/>
      <c r="AB38" s="2385"/>
      <c r="AC38" s="2314" t="s">
        <v>435</v>
      </c>
      <c r="AD38" s="2333"/>
      <c r="AE38" s="2334"/>
      <c r="AF38" s="2298"/>
      <c r="AG38" s="2386" t="s">
        <v>531</v>
      </c>
      <c r="AH38" s="2385" t="s">
        <v>532</v>
      </c>
      <c r="AI38" s="2385"/>
      <c r="AJ38" s="2385"/>
      <c r="AK38" s="2385" t="s">
        <v>533</v>
      </c>
      <c r="AL38" s="2385"/>
      <c r="AM38" s="2385"/>
      <c r="AN38" s="2314" t="s">
        <v>435</v>
      </c>
      <c r="AO38" s="2333"/>
      <c r="AP38" s="2334"/>
      <c r="AQ38" s="2298"/>
      <c r="AR38" s="2301"/>
      <c r="AS38" s="2147"/>
      <c r="AT38" s="1643"/>
      <c r="AU38" s="1643"/>
      <c r="AV38" s="1643"/>
      <c r="AW38" s="1643"/>
      <c r="AX38" s="1643"/>
      <c r="AY38" s="1638">
        <v>19</v>
      </c>
    </row>
    <row customHeight="1" ht="19.95">
      <c r="Q39" s="383"/>
      <c r="R39" s="383"/>
      <c r="S39" s="2293"/>
      <c r="T39" s="2229"/>
      <c r="U39" s="1038"/>
      <c r="V39" s="2386"/>
      <c r="W39" s="2385" t="s">
        <v>534</v>
      </c>
      <c r="X39" s="2385" t="s">
        <v>535</v>
      </c>
      <c r="Y39" s="2385"/>
      <c r="Z39" s="2385" t="s">
        <v>536</v>
      </c>
      <c r="AA39" s="2385" t="s">
        <v>535</v>
      </c>
      <c r="AB39" s="2385"/>
      <c r="AC39" s="2315"/>
      <c r="AD39" s="2335"/>
      <c r="AE39" s="2336"/>
      <c r="AF39" s="2298"/>
      <c r="AG39" s="2386"/>
      <c r="AH39" s="2385" t="s">
        <v>534</v>
      </c>
      <c r="AI39" s="2385" t="s">
        <v>535</v>
      </c>
      <c r="AJ39" s="2385"/>
      <c r="AK39" s="2385" t="s">
        <v>536</v>
      </c>
      <c r="AL39" s="2385" t="s">
        <v>535</v>
      </c>
      <c r="AM39" s="2385"/>
      <c r="AN39" s="2315"/>
      <c r="AO39" s="2335"/>
      <c r="AP39" s="2336"/>
      <c r="AQ39" s="2298"/>
      <c r="AR39" s="2301"/>
      <c r="AS39" s="2147"/>
      <c r="AY39" s="1162">
        <v>19</v>
      </c>
    </row>
    <row customHeight="1" ht="61.949999999999996">
      <c r="A40" s="1377"/>
      <c r="B40" s="1377" t="s">
        <v>136</v>
      </c>
      <c r="C40" s="1377" t="s">
        <v>137</v>
      </c>
      <c r="D40" s="1377" t="s">
        <v>138</v>
      </c>
      <c r="E40" s="1371" t="s">
        <v>436</v>
      </c>
      <c r="F40" s="1371" t="s">
        <v>437</v>
      </c>
      <c r="G40" s="1371" t="s">
        <v>438</v>
      </c>
      <c r="H40" s="1371"/>
      <c r="I40" s="1371" t="s">
        <v>489</v>
      </c>
      <c r="J40" s="1371" t="s">
        <v>441</v>
      </c>
      <c r="K40" s="1371" t="s">
        <v>490</v>
      </c>
      <c r="L40" s="1371" t="s">
        <v>417</v>
      </c>
      <c r="Q40" s="383"/>
      <c r="R40" s="383"/>
      <c r="S40" s="2293"/>
      <c r="T40" s="2229"/>
      <c r="U40" s="309"/>
      <c r="V40" s="2386"/>
      <c r="W40" s="2385"/>
      <c r="X40" s="1987" t="s">
        <v>537</v>
      </c>
      <c r="Y40" s="1987" t="s">
        <v>538</v>
      </c>
      <c r="Z40" s="2385"/>
      <c r="AA40" s="1987" t="s">
        <v>539</v>
      </c>
      <c r="AB40" s="1987" t="s">
        <v>540</v>
      </c>
      <c r="AC40" s="1496" t="s">
        <v>445</v>
      </c>
      <c r="AD40" s="2290" t="s">
        <v>446</v>
      </c>
      <c r="AE40" s="2291"/>
      <c r="AF40" s="2299"/>
      <c r="AG40" s="2386"/>
      <c r="AH40" s="2385"/>
      <c r="AI40" s="1987" t="s">
        <v>537</v>
      </c>
      <c r="AJ40" s="1987" t="s">
        <v>538</v>
      </c>
      <c r="AK40" s="2385"/>
      <c r="AL40" s="1987" t="s">
        <v>539</v>
      </c>
      <c r="AM40" s="1987" t="s">
        <v>540</v>
      </c>
      <c r="AN40" s="1496" t="s">
        <v>445</v>
      </c>
      <c r="AO40" s="2290" t="s">
        <v>446</v>
      </c>
      <c r="AP40" s="2291"/>
      <c r="AQ40" s="2299"/>
      <c r="AR40" s="2302"/>
      <c r="AS40" s="2147"/>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109</v>
      </c>
      <c r="T41" s="1262" t="s">
        <v>110</v>
      </c>
      <c r="U41" s="1252" t="str">
        <f>OFFSET(U41,0,-1)</f>
        <v>2</v>
      </c>
      <c r="V41" s="1489">
        <f>OFFSET(V41,0,-1)+1</f>
        <v>3</v>
      </c>
      <c r="W41" s="1983"/>
      <c r="X41" s="1983"/>
      <c r="Y41" s="1983"/>
      <c r="Z41" s="1983"/>
      <c r="AA41" s="1983"/>
      <c r="AB41" s="1489">
        <f>OFFSET(AB41,0,-1)+1</f>
        <v>1</v>
      </c>
      <c r="AC41" s="1489">
        <f>OFFSET(AC41,0,-1)+1</f>
        <v>2</v>
      </c>
      <c r="AD41" s="2292">
        <f>OFFSET(AD41,0,-1)+1</f>
        <v>3</v>
      </c>
      <c r="AE41" s="2292"/>
      <c r="AF41" s="1489">
        <f>OFFSET(AF41,0,-2)+1</f>
        <v>4</v>
      </c>
      <c r="AG41" s="1489">
        <f>OFFSET(AG41,0,-1)+1</f>
        <v>5</v>
      </c>
      <c r="AH41" s="1983"/>
      <c r="AI41" s="1983"/>
      <c r="AJ41" s="1983"/>
      <c r="AK41" s="1983"/>
      <c r="AL41" s="1983"/>
      <c r="AM41" s="1489">
        <f>OFFSET(AM41,0,-1)+1</f>
        <v>1</v>
      </c>
      <c r="AN41" s="1489">
        <f>OFFSET(AN41,0,-1)+1</f>
        <v>2</v>
      </c>
      <c r="AO41" s="2292">
        <f>OFFSET(AO41,0,-1)+1</f>
        <v>3</v>
      </c>
      <c r="AP41" s="2292"/>
      <c r="AQ41" s="1489">
        <f>OFFSET(AQ41,0,-2)+1</f>
        <v>4</v>
      </c>
      <c r="AR41" s="1252">
        <f>OFFSET(AR41,0,-1)</f>
        <v>4</v>
      </c>
      <c r="AS41" s="1489">
        <f>OFFSET(AS41,0,-1)+1</f>
        <v>5</v>
      </c>
      <c r="AT41" s="518"/>
      <c r="AU41" s="518"/>
      <c r="AV41" s="518"/>
      <c r="AW41" s="518"/>
      <c r="AX41" s="518"/>
      <c r="AY41" s="503">
        <v>0</v>
      </c>
    </row>
    <row customHeight="1" ht="24">
      <c r="A42" s="1370" t="s">
        <v>255</v>
      </c>
      <c r="B42" s="1370"/>
      <c r="C42" s="1370"/>
      <c r="D42" s="1370"/>
      <c r="E42" s="2278">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255</v>
      </c>
      <c r="B43" s="1370" t="s">
        <v>256</v>
      </c>
      <c r="C43" s="1370"/>
      <c r="D43" s="1370"/>
      <c r="E43" s="2279"/>
      <c r="F43" s="2278">
        <v>1</v>
      </c>
      <c r="G43" s="1370"/>
      <c r="H43" s="1370"/>
      <c r="I43" s="1370"/>
      <c r="J43" s="1370"/>
      <c r="K43" s="1370"/>
      <c r="L43" s="1371"/>
      <c r="M43" s="1372"/>
      <c r="N43" s="1372"/>
      <c r="O43" s="1372"/>
      <c r="P43" s="1494"/>
      <c r="Q43" s="359"/>
      <c r="R43" s="360"/>
      <c r="S43" s="1500" t="str">
        <f>INDEX(PT_DIFFERENTIATION_NUM_TER,MATCH(B43,PT_DIFFERENTIATION_TER_ID,0))</f>
        <v>.</v>
      </c>
      <c r="T43" s="315" t="s">
        <v>396</v>
      </c>
      <c r="U43" s="307"/>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65" t="s">
        <v>397</v>
      </c>
      <c r="AU43" s="507"/>
      <c r="AV43" s="507" t="str">
        <f>IF(T43="","",T43)</f>
        <v>Территория действия тарифа</v>
      </c>
      <c r="AW43" s="507"/>
      <c r="AX43" s="507"/>
      <c r="AY43" s="1162">
        <v>23</v>
      </c>
    </row>
    <row customHeight="1" ht="24">
      <c r="A44" s="1370" t="s">
        <v>255</v>
      </c>
      <c r="B44" s="1370" t="s">
        <v>256</v>
      </c>
      <c r="C44" s="1370" t="s">
        <v>257</v>
      </c>
      <c r="D44" s="1370"/>
      <c r="E44" s="2279"/>
      <c r="F44" s="2279"/>
      <c r="G44" s="2278">
        <v>1</v>
      </c>
      <c r="H44" s="1370"/>
      <c r="I44" s="1370"/>
      <c r="J44" s="1370"/>
      <c r="K44" s="1370"/>
      <c r="L44" s="1371"/>
      <c r="M44" s="1372"/>
      <c r="N44" s="1372"/>
      <c r="O44" s="1372"/>
      <c r="P44" s="361"/>
      <c r="Q44" s="359"/>
      <c r="R44" s="360"/>
      <c r="S44" s="1500" t="str">
        <f>INDEX(PT_DIFFERENTIATION_NUM_CS,MATCH(C44,PT_DIFFERENTIATION_CS_ID,0))</f>
        <v>..</v>
      </c>
      <c r="T44" s="316" t="s">
        <v>529</v>
      </c>
      <c r="U44" s="307"/>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65" t="s">
        <v>530</v>
      </c>
      <c r="AU44" s="507"/>
      <c r="AV44" s="507" t="str">
        <f>IF(T44="","",T44)</f>
        <v>Наименование централизованной системы горячего водоснабжения</v>
      </c>
      <c r="AW44" s="507"/>
      <c r="AX44" s="507"/>
      <c r="AY44" s="1162">
        <v>23</v>
      </c>
    </row>
    <row customHeight="1" ht="24">
      <c r="A45" s="1370" t="s">
        <v>255</v>
      </c>
      <c r="B45" s="1370" t="s">
        <v>256</v>
      </c>
      <c r="C45" s="1370" t="s">
        <v>257</v>
      </c>
      <c r="D45" s="1370" t="s">
        <v>542</v>
      </c>
      <c r="E45" s="2279"/>
      <c r="F45" s="2279"/>
      <c r="G45" s="2279"/>
      <c r="H45" s="2279"/>
      <c r="I45" s="2276" t="str">
        <f>S44&amp;".1"</f>
        <v>...1</v>
      </c>
      <c r="J45" s="1370"/>
      <c r="K45" s="1370"/>
      <c r="L45" s="1371"/>
      <c r="P45" s="2277">
        <v>1</v>
      </c>
      <c r="Q45" s="1488"/>
      <c r="R45" s="363"/>
      <c r="S45" s="1500" t="str">
        <f>$I45</f>
        <v>...1</v>
      </c>
      <c r="T45" s="292" t="s">
        <v>482</v>
      </c>
      <c r="U45" s="307"/>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65" t="s">
        <v>483</v>
      </c>
      <c r="AU45" s="507"/>
      <c r="AV45" s="507" t="str">
        <f>IF(T45="","",T45)</f>
        <v>Наименование признака дифференциации</v>
      </c>
      <c r="AW45" s="507"/>
      <c r="AX45" s="507"/>
      <c r="AY45" s="1162">
        <v>23</v>
      </c>
    </row>
    <row customHeight="1" ht="24">
      <c r="A46" s="1370" t="s">
        <v>255</v>
      </c>
      <c r="B46" s="1370" t="s">
        <v>256</v>
      </c>
      <c r="C46" s="1370" t="s">
        <v>257</v>
      </c>
      <c r="D46" s="1370" t="s">
        <v>542</v>
      </c>
      <c r="E46" s="2279"/>
      <c r="F46" s="2279"/>
      <c r="G46" s="2279"/>
      <c r="H46" s="2279"/>
      <c r="I46" s="2306"/>
      <c r="J46" s="2276" t="str">
        <f>I45&amp;".1"</f>
        <v>...1.1</v>
      </c>
      <c r="K46" s="1370"/>
      <c r="L46" s="1371" t="s">
        <v>405</v>
      </c>
      <c r="P46" s="2277"/>
      <c r="Q46" s="2277">
        <v>1</v>
      </c>
      <c r="R46" s="364"/>
      <c r="S46" s="1500" t="str">
        <f>$J46</f>
        <v>...1.1</v>
      </c>
      <c r="T46" s="293" t="s">
        <v>406</v>
      </c>
      <c r="U46" s="307"/>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14" t="s">
        <v>484</v>
      </c>
      <c r="AU46" s="507"/>
      <c r="AV46" s="507" t="str">
        <f>IF(T46="","",T46)</f>
        <v>Группа потребителей</v>
      </c>
      <c r="AW46" s="507"/>
      <c r="AX46" s="507"/>
      <c r="AY46" s="1162">
        <v>23</v>
      </c>
    </row>
    <row customHeight="1" ht="24">
      <c r="A47" s="1370" t="s">
        <v>255</v>
      </c>
      <c r="B47" s="1370" t="s">
        <v>256</v>
      </c>
      <c r="C47" s="1370" t="s">
        <v>257</v>
      </c>
      <c r="D47" s="1370" t="s">
        <v>542</v>
      </c>
      <c r="E47" s="2279"/>
      <c r="F47" s="2279"/>
      <c r="G47" s="2279"/>
      <c r="H47" s="2279"/>
      <c r="I47" s="2306"/>
      <c r="J47" s="2306"/>
      <c r="K47" s="2276" t="str">
        <f>J46&amp;".1"</f>
        <v>...1.1.1</v>
      </c>
      <c r="L47" s="1371"/>
      <c r="P47" s="2277"/>
      <c r="Q47" s="2277"/>
      <c r="R47" s="364">
        <v>1</v>
      </c>
      <c r="S47" s="1500" t="str">
        <f>$K47</f>
        <v>...1.1.1</v>
      </c>
      <c r="T47" s="1444"/>
      <c r="U47" s="307"/>
      <c r="V47" s="1367"/>
      <c r="W47" s="1367"/>
      <c r="X47" s="1367"/>
      <c r="Y47" s="1367"/>
      <c r="Z47" s="1367"/>
      <c r="AA47" s="1367"/>
      <c r="AB47" s="1368"/>
      <c r="AC47" s="2287"/>
      <c r="AD47" s="2288" t="s">
        <v>61</v>
      </c>
      <c r="AE47" s="2287"/>
      <c r="AF47" s="2288" t="s">
        <v>61</v>
      </c>
      <c r="AG47" s="758"/>
      <c r="AH47" s="758"/>
      <c r="AI47" s="758"/>
      <c r="AJ47" s="758"/>
      <c r="AK47" s="758"/>
      <c r="AL47" s="758"/>
      <c r="AM47" s="1264"/>
      <c r="AN47" s="2285"/>
      <c r="AO47" s="2127" t="s">
        <v>61</v>
      </c>
      <c r="AP47" s="2307"/>
      <c r="AQ47" s="2127" t="s">
        <v>19</v>
      </c>
      <c r="AR47" s="1445"/>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255</v>
      </c>
      <c r="B48" s="1370" t="s">
        <v>256</v>
      </c>
      <c r="C48" s="1370" t="s">
        <v>257</v>
      </c>
      <c r="D48" s="1370" t="s">
        <v>542</v>
      </c>
      <c r="E48" s="2279"/>
      <c r="F48" s="2279"/>
      <c r="G48" s="2279"/>
      <c r="H48" s="2279"/>
      <c r="I48" s="2306"/>
      <c r="J48" s="2306"/>
      <c r="K48" s="2276"/>
      <c r="L48" s="1371"/>
      <c r="P48" s="2277"/>
      <c r="Q48" s="2277"/>
      <c r="R48" s="364"/>
      <c r="S48" s="1497"/>
      <c r="T48" s="307"/>
      <c r="U48" s="307"/>
      <c r="V48" s="1367"/>
      <c r="W48" s="1367"/>
      <c r="X48" s="1367"/>
      <c r="Y48" s="1367"/>
      <c r="Z48" s="1367"/>
      <c r="AA48" s="1367"/>
      <c r="AB48" s="335" t="str">
        <f>AC47&amp;"-"&amp;AE47</f>
        <v>-</v>
      </c>
      <c r="AC48" s="2288"/>
      <c r="AD48" s="2288"/>
      <c r="AE48" s="2288"/>
      <c r="AF48" s="2288"/>
      <c r="AG48" s="332"/>
      <c r="AH48" s="332"/>
      <c r="AI48" s="332"/>
      <c r="AJ48" s="332"/>
      <c r="AK48" s="332"/>
      <c r="AL48" s="332"/>
      <c r="AM48" s="335" t="str">
        <f>AN47&amp;"-"&amp;AP47</f>
        <v>-</v>
      </c>
      <c r="AN48" s="2286"/>
      <c r="AO48" s="2127"/>
      <c r="AP48" s="2308"/>
      <c r="AQ48" s="2127"/>
      <c r="AR48" s="1446"/>
      <c r="AS48" s="2369"/>
      <c r="AU48" s="507"/>
      <c r="AV48" s="507" t="str">
        <f>IF(T48="","",T48)</f>
        <v/>
      </c>
      <c r="AW48" s="507"/>
      <c r="AX48" s="507"/>
      <c r="AY48" s="1162">
        <v>0</v>
      </c>
    </row>
    <row customHeight="1" ht="21">
      <c r="A49" s="1370" t="s">
        <v>255</v>
      </c>
      <c r="B49" s="1370" t="s">
        <v>256</v>
      </c>
      <c r="C49" s="1370" t="s">
        <v>257</v>
      </c>
      <c r="D49" s="1370" t="s">
        <v>542</v>
      </c>
      <c r="E49" s="2279"/>
      <c r="F49" s="2279"/>
      <c r="G49" s="2279"/>
      <c r="H49" s="2279"/>
      <c r="I49" s="2306"/>
      <c r="J49" s="2276"/>
      <c r="K49" s="1370"/>
      <c r="L49" s="1371"/>
      <c r="P49" s="2277"/>
      <c r="Q49" s="2277"/>
      <c r="R49" s="363"/>
      <c r="S49" s="1285"/>
      <c r="T49" s="294" t="s">
        <v>485</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486</v>
      </c>
      <c r="AU49" s="507"/>
      <c r="AV49" s="507" t="str">
        <f>IF(T49="","",T49)</f>
        <v>Добавить значение признака дифференциации</v>
      </c>
      <c r="AW49" s="507"/>
      <c r="AX49" s="507"/>
      <c r="AY49" s="1162">
        <v>20</v>
      </c>
    </row>
    <row customHeight="1" ht="22.049999999999997">
      <c r="A50" s="1370" t="s">
        <v>255</v>
      </c>
      <c r="B50" s="1370" t="s">
        <v>256</v>
      </c>
      <c r="C50" s="1370" t="s">
        <v>257</v>
      </c>
      <c r="D50" s="1370" t="s">
        <v>542</v>
      </c>
      <c r="E50" s="2279"/>
      <c r="F50" s="2279"/>
      <c r="G50" s="2279"/>
      <c r="H50" s="2279"/>
      <c r="I50" s="2276"/>
      <c r="J50" s="1370"/>
      <c r="K50" s="1370"/>
      <c r="L50" s="1371"/>
      <c r="P50" s="2277"/>
      <c r="Q50" s="1488"/>
      <c r="R50" s="363"/>
      <c r="S50" s="1285"/>
      <c r="T50" s="372" t="s">
        <v>411</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255</v>
      </c>
      <c r="B51" s="1370" t="s">
        <v>256</v>
      </c>
      <c r="C51" s="1370" t="s">
        <v>257</v>
      </c>
      <c r="D51" s="1370" t="s">
        <v>542</v>
      </c>
      <c r="E51" s="2279"/>
      <c r="F51" s="2279"/>
      <c r="G51" s="2279"/>
      <c r="H51" s="2278"/>
      <c r="I51" s="1370"/>
      <c r="J51" s="1370"/>
      <c r="K51" s="1370"/>
      <c r="L51" s="1371"/>
      <c r="M51" s="1372"/>
      <c r="N51" s="1372"/>
      <c r="O51" s="544"/>
      <c r="P51" s="367"/>
      <c r="Q51" s="382"/>
      <c r="R51" s="362"/>
      <c r="S51" s="1285"/>
      <c r="T51" s="379" t="s">
        <v>487</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255</v>
      </c>
      <c r="B52" s="1350" t="s">
        <v>256</v>
      </c>
      <c r="C52" s="1321"/>
      <c r="D52" s="1321"/>
      <c r="E52" s="2279"/>
      <c r="F52" s="2278"/>
      <c r="G52" s="1321"/>
      <c r="H52" s="1321"/>
      <c r="I52" s="1321"/>
      <c r="J52" s="1321"/>
      <c r="K52" s="1321"/>
      <c r="L52" s="1501"/>
      <c r="M52" s="1328"/>
      <c r="N52" s="1328"/>
      <c r="P52" s="1323"/>
      <c r="Q52" s="1324"/>
      <c r="R52" s="1323"/>
      <c r="S52" s="1329"/>
      <c r="T52" s="1332" t="s">
        <v>414</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255</v>
      </c>
      <c r="B53" s="1350"/>
      <c r="C53" s="1350"/>
      <c r="D53" s="1350"/>
      <c r="E53" s="2278"/>
      <c r="F53" s="1350"/>
      <c r="G53" s="1350"/>
      <c r="H53" s="1350"/>
      <c r="I53" s="1350"/>
      <c r="J53" s="1350"/>
      <c r="K53" s="1350"/>
      <c r="L53" s="1353"/>
      <c r="M53" s="1328"/>
      <c r="N53" s="1328"/>
      <c r="O53" s="525"/>
      <c r="P53" s="387"/>
      <c r="Q53" s="1351"/>
      <c r="R53" s="387"/>
      <c r="S53" s="1329"/>
      <c r="T53" s="1332" t="s">
        <v>415</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447</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62">
        <v>14</v>
      </c>
    </row>
    <row customHeight="1" ht="14.699999999999998">
      <c r="O57" s="544"/>
      <c r="AY57" s="1162">
        <v>14</v>
      </c>
    </row>
    <row customHeight="1" ht="14.699999999999998">
      <c r="O58" s="544"/>
      <c r="S58" s="1260"/>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56B87-A159-AC13-CDB3-0.DAFB238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27"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27"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78">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79"/>
      <c r="F3" s="2278">
        <v>1</v>
      </c>
      <c r="G3" s="1370"/>
      <c r="H3" s="1370"/>
      <c r="I3" s="1370"/>
      <c r="J3" s="1370"/>
      <c r="K3" s="1370"/>
      <c r="L3" s="1371"/>
      <c r="M3" s="1372"/>
      <c r="N3" s="1372"/>
      <c r="O3" s="1372"/>
      <c r="P3" s="1417"/>
      <c r="Q3" s="1418"/>
      <c r="R3" s="360"/>
      <c r="S3" s="1500">
        <f>INDEX(PT_DIFFERENTIATION_NUM_TER,MATCH(B3,PT_DIFFERENTIATION_TER_ID,0))</f>
      </c>
      <c r="T3" s="315" t="s">
        <v>396</v>
      </c>
      <c r="U3" s="307"/>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65" t="s">
        <v>397</v>
      </c>
      <c r="BE3" s="507"/>
      <c r="BF3" s="507" t="str">
        <f>IF(T3="","",T3)</f>
        <v>Территория действия тарифа</v>
      </c>
      <c r="BG3" s="507"/>
      <c r="BH3" s="507"/>
      <c r="BI3" s="1162">
        <v>0</v>
      </c>
    </row>
    <row customHeight="1" ht="33.75" hidden="1">
      <c r="A4" s="1370"/>
      <c r="B4" s="1370"/>
      <c r="C4" s="1370"/>
      <c r="D4" s="1370"/>
      <c r="E4" s="2279"/>
      <c r="F4" s="2279"/>
      <c r="G4" s="2278">
        <v>1</v>
      </c>
      <c r="H4" s="1370"/>
      <c r="I4" s="1370"/>
      <c r="J4" s="1370"/>
      <c r="K4" s="1370"/>
      <c r="L4" s="1371"/>
      <c r="M4" s="1372"/>
      <c r="N4" s="1372"/>
      <c r="O4" s="1372"/>
      <c r="P4" s="1419"/>
      <c r="Q4" s="1418"/>
      <c r="R4" s="360"/>
      <c r="S4" s="1500">
        <f>INDEX(PT_DIFFERENTIATION_NUM_CS,MATCH(C4,PT_DIFFERENTIATION_CS_ID,0))</f>
      </c>
      <c r="T4" s="316" t="s">
        <v>529</v>
      </c>
      <c r="U4" s="307"/>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65" t="s">
        <v>530</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79"/>
      <c r="F5" s="2279"/>
      <c r="G5" s="2279"/>
      <c r="H5" s="2278">
        <v>1</v>
      </c>
      <c r="I5" s="1350"/>
      <c r="J5" s="1350"/>
      <c r="K5" s="1350"/>
      <c r="L5" s="1353"/>
      <c r="M5" s="1322"/>
      <c r="N5" s="1322"/>
      <c r="O5" s="1322"/>
      <c r="P5" s="1504"/>
      <c r="Q5" s="1505"/>
      <c r="R5" s="364"/>
      <c r="S5" s="1049"/>
      <c r="T5" s="1506"/>
      <c r="U5" s="1391"/>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92" t="s">
        <v>401</v>
      </c>
      <c r="BE5" s="507"/>
      <c r="BF5" s="507" t="str">
        <f>IF(T5="","",T5)</f>
        <v/>
      </c>
      <c r="BG5" s="507"/>
      <c r="BH5" s="507"/>
      <c r="BI5" s="518">
        <v>0</v>
      </c>
    </row>
    <row s="1649" customFormat="1" customHeight="1" ht="14.25" hidden="1">
      <c r="A6" s="1350"/>
      <c r="B6" s="1350"/>
      <c r="C6" s="1350"/>
      <c r="D6" s="1350"/>
      <c r="E6" s="2279"/>
      <c r="F6" s="2279"/>
      <c r="G6" s="2279"/>
      <c r="H6" s="2279"/>
      <c r="I6" s="2276" t="str">
        <f>S5&amp;".1"</f>
        <v>.1</v>
      </c>
      <c r="J6" s="1350"/>
      <c r="K6" s="1350"/>
      <c r="L6" s="1353" t="s">
        <v>402</v>
      </c>
      <c r="M6" s="517"/>
      <c r="N6" s="517"/>
      <c r="O6" s="517"/>
      <c r="P6" s="2277">
        <v>1</v>
      </c>
      <c r="Q6" s="1488"/>
      <c r="R6" s="363"/>
      <c r="S6" s="1049"/>
      <c r="T6" s="1390"/>
      <c r="U6" s="1391"/>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92"/>
      <c r="BE6" s="507"/>
      <c r="BF6" s="507" t="str">
        <f>IF(T6="","",T6)</f>
        <v/>
      </c>
      <c r="BG6" s="507"/>
      <c r="BH6" s="507"/>
      <c r="BI6" s="518">
        <v>0</v>
      </c>
    </row>
    <row s="1649" customFormat="1" customHeight="1" ht="14.25" hidden="1">
      <c r="A7" s="1350"/>
      <c r="B7" s="1350"/>
      <c r="C7" s="1350"/>
      <c r="D7" s="1350"/>
      <c r="E7" s="2279"/>
      <c r="F7" s="2279"/>
      <c r="G7" s="2279"/>
      <c r="H7" s="2279"/>
      <c r="I7" s="2306"/>
      <c r="J7" s="2276" t="str">
        <f>S5&amp;".1"</f>
        <v>.1</v>
      </c>
      <c r="K7" s="1350"/>
      <c r="L7" s="1353"/>
      <c r="M7" s="517"/>
      <c r="N7" s="517"/>
      <c r="O7" s="517"/>
      <c r="P7" s="2277"/>
      <c r="Q7" s="2277">
        <v>1</v>
      </c>
      <c r="R7" s="364"/>
      <c r="S7" s="1049"/>
      <c r="T7" s="1406"/>
      <c r="U7" s="1391"/>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92"/>
      <c r="BE7" s="507"/>
      <c r="BF7" s="507" t="str">
        <f>IF(T7="","",T7)</f>
        <v/>
      </c>
      <c r="BG7" s="507"/>
      <c r="BH7" s="507"/>
      <c r="BI7" s="518">
        <v>0</v>
      </c>
    </row>
    <row customHeight="1" ht="11.25" hidden="1">
      <c r="A8" s="1370"/>
      <c r="B8" s="1370"/>
      <c r="C8" s="1370"/>
      <c r="D8" s="1370"/>
      <c r="E8" s="2279"/>
      <c r="F8" s="2279"/>
      <c r="G8" s="2279"/>
      <c r="H8" s="2279"/>
      <c r="I8" s="2306"/>
      <c r="J8" s="2306"/>
      <c r="K8" s="2276">
        <f>S4&amp;".1"</f>
      </c>
      <c r="L8" s="1371"/>
      <c r="P8" s="2277"/>
      <c r="Q8" s="2277"/>
      <c r="R8" s="2367">
        <v>1</v>
      </c>
      <c r="S8" s="2361">
        <f>$K8</f>
      </c>
      <c r="T8" s="2380"/>
      <c r="U8" s="307"/>
      <c r="V8" s="758"/>
      <c r="W8" s="1264"/>
      <c r="X8" s="758"/>
      <c r="Y8" s="1264"/>
      <c r="Z8" s="1740"/>
      <c r="AA8" s="1476" t="s">
        <v>61</v>
      </c>
      <c r="AB8" s="1740"/>
      <c r="AC8" s="1476" t="s">
        <v>61</v>
      </c>
      <c r="AD8" s="2205" t="s">
        <v>61</v>
      </c>
      <c r="AE8" s="2346"/>
      <c r="AF8" s="2225">
        <v>1</v>
      </c>
      <c r="AG8" s="2383"/>
      <c r="AH8" s="2127" t="s">
        <v>61</v>
      </c>
      <c r="AI8" s="2346"/>
      <c r="AJ8" s="2225">
        <v>1</v>
      </c>
      <c r="AK8" s="2347" t="s">
        <v>22</v>
      </c>
      <c r="AL8" s="2127" t="s">
        <v>61</v>
      </c>
      <c r="AM8" s="2212"/>
      <c r="AN8" s="2225">
        <v>1</v>
      </c>
      <c r="AO8" s="2377"/>
      <c r="AP8" s="2378" t="s">
        <v>61</v>
      </c>
      <c r="AQ8" s="318"/>
      <c r="AR8" s="1493">
        <v>1</v>
      </c>
      <c r="AS8" s="1499" t="s">
        <v>22</v>
      </c>
      <c r="AT8" s="758"/>
      <c r="AU8" s="1264"/>
      <c r="AV8" s="758"/>
      <c r="AW8" s="1264"/>
      <c r="AX8" s="1740"/>
      <c r="AY8" s="1476" t="s">
        <v>61</v>
      </c>
      <c r="AZ8" s="1740"/>
      <c r="BA8" s="1476" t="s">
        <v>61</v>
      </c>
      <c r="BB8" s="1355"/>
      <c r="BC8" s="2273" t="s">
        <v>500</v>
      </c>
      <c r="BE8" s="507"/>
      <c r="BF8" s="507" t="str">
        <f>IF(T8="","",T8)</f>
        <v/>
      </c>
      <c r="BG8" s="507"/>
      <c r="BH8" s="507"/>
      <c r="BI8" s="1162">
        <v>0</v>
      </c>
    </row>
    <row customHeight="1" ht="11.25" hidden="1">
      <c r="A9" s="1370"/>
      <c r="B9" s="1370"/>
      <c r="C9" s="1370"/>
      <c r="D9" s="1370"/>
      <c r="E9" s="2279"/>
      <c r="F9" s="2279"/>
      <c r="G9" s="2279"/>
      <c r="H9" s="2279"/>
      <c r="I9" s="2306"/>
      <c r="J9" s="2306"/>
      <c r="K9" s="2276"/>
      <c r="L9" s="1371"/>
      <c r="P9" s="2277"/>
      <c r="Q9" s="2277"/>
      <c r="R9" s="2367"/>
      <c r="S9" s="2362"/>
      <c r="T9" s="2381"/>
      <c r="U9" s="307"/>
      <c r="V9" s="1400"/>
      <c r="W9" s="1503"/>
      <c r="X9" s="1400"/>
      <c r="Y9" s="1503"/>
      <c r="Z9" s="1400"/>
      <c r="AA9" s="1400"/>
      <c r="AB9" s="1400"/>
      <c r="AC9" s="1400"/>
      <c r="AD9" s="2206"/>
      <c r="AE9" s="2346"/>
      <c r="AF9" s="2225"/>
      <c r="AG9" s="2383"/>
      <c r="AH9" s="2127"/>
      <c r="AI9" s="2346"/>
      <c r="AJ9" s="2225"/>
      <c r="AK9" s="2347"/>
      <c r="AL9" s="2127"/>
      <c r="AM9" s="2220"/>
      <c r="AN9" s="2225"/>
      <c r="AO9" s="2377"/>
      <c r="AP9" s="2379"/>
      <c r="AQ9" s="323"/>
      <c r="AR9" s="423"/>
      <c r="AS9" s="423" t="s">
        <v>501</v>
      </c>
      <c r="AT9" s="1400"/>
      <c r="AU9" s="1503"/>
      <c r="AV9" s="1400"/>
      <c r="AW9" s="1503"/>
      <c r="AX9" s="1400"/>
      <c r="AY9" s="1400"/>
      <c r="AZ9" s="1400"/>
      <c r="BA9" s="1400"/>
      <c r="BB9" s="1404"/>
      <c r="BC9" s="2274"/>
      <c r="BE9" s="507"/>
      <c r="BF9" s="507"/>
      <c r="BG9" s="507"/>
      <c r="BH9" s="507"/>
      <c r="BI9" s="1162">
        <v>0</v>
      </c>
    </row>
    <row customHeight="1" ht="11.25" hidden="1">
      <c r="A10" s="1370"/>
      <c r="B10" s="1370"/>
      <c r="C10" s="1370"/>
      <c r="D10" s="1370"/>
      <c r="E10" s="2279"/>
      <c r="F10" s="2279"/>
      <c r="G10" s="2279"/>
      <c r="H10" s="2279"/>
      <c r="I10" s="2306"/>
      <c r="J10" s="2306"/>
      <c r="K10" s="2276"/>
      <c r="L10" s="1371"/>
      <c r="P10" s="2277"/>
      <c r="Q10" s="2277"/>
      <c r="R10" s="2367"/>
      <c r="S10" s="2362"/>
      <c r="T10" s="2381"/>
      <c r="U10" s="307"/>
      <c r="V10" s="1400"/>
      <c r="W10" s="1503"/>
      <c r="X10" s="1400"/>
      <c r="Y10" s="1503"/>
      <c r="Z10" s="1400"/>
      <c r="AA10" s="1400"/>
      <c r="AB10" s="1400"/>
      <c r="AC10" s="1400"/>
      <c r="AD10" s="2206"/>
      <c r="AE10" s="2346"/>
      <c r="AF10" s="2225"/>
      <c r="AG10" s="2383"/>
      <c r="AH10" s="2127"/>
      <c r="AI10" s="2346"/>
      <c r="AJ10" s="2225"/>
      <c r="AK10" s="2347"/>
      <c r="AL10" s="2127"/>
      <c r="AM10" s="323"/>
      <c r="AN10" s="1507"/>
      <c r="AO10" s="1507" t="s">
        <v>502</v>
      </c>
      <c r="AP10" s="423"/>
      <c r="AQ10" s="423"/>
      <c r="AR10" s="423"/>
      <c r="AS10" s="1400"/>
      <c r="AT10" s="1400"/>
      <c r="AU10" s="1503"/>
      <c r="AV10" s="1400"/>
      <c r="AW10" s="1503"/>
      <c r="AX10" s="1400"/>
      <c r="AY10" s="1400"/>
      <c r="AZ10" s="1400"/>
      <c r="BA10" s="1400"/>
      <c r="BB10" s="1404"/>
      <c r="BC10" s="2274"/>
      <c r="BE10" s="507"/>
      <c r="BF10" s="507"/>
      <c r="BG10" s="507"/>
      <c r="BH10" s="507"/>
      <c r="BI10" s="1162">
        <v>0</v>
      </c>
    </row>
    <row customHeight="1" ht="11.25" hidden="1">
      <c r="A11" s="1370"/>
      <c r="B11" s="1370"/>
      <c r="C11" s="1370"/>
      <c r="D11" s="1370"/>
      <c r="E11" s="2279"/>
      <c r="F11" s="2279"/>
      <c r="G11" s="2279"/>
      <c r="H11" s="2279"/>
      <c r="I11" s="2306"/>
      <c r="J11" s="2306"/>
      <c r="K11" s="2276"/>
      <c r="L11" s="1371"/>
      <c r="P11" s="2277"/>
      <c r="Q11" s="2277"/>
      <c r="R11" s="2367"/>
      <c r="S11" s="2362"/>
      <c r="T11" s="2381"/>
      <c r="U11" s="307"/>
      <c r="V11" s="1400"/>
      <c r="W11" s="1503"/>
      <c r="X11" s="1400"/>
      <c r="Y11" s="1503"/>
      <c r="Z11" s="1400"/>
      <c r="AA11" s="1400"/>
      <c r="AB11" s="1400"/>
      <c r="AC11" s="1400"/>
      <c r="AD11" s="2206"/>
      <c r="AE11" s="2346"/>
      <c r="AF11" s="2225"/>
      <c r="AG11" s="2383"/>
      <c r="AH11" s="2127"/>
      <c r="AI11" s="301"/>
      <c r="AJ11" s="422"/>
      <c r="AK11" s="320" t="s">
        <v>503</v>
      </c>
      <c r="AL11" s="1400"/>
      <c r="AM11" s="1400"/>
      <c r="AN11" s="1400"/>
      <c r="AO11" s="1400"/>
      <c r="AP11" s="1400"/>
      <c r="AQ11" s="1400"/>
      <c r="AR11" s="1400"/>
      <c r="AS11" s="1400"/>
      <c r="AT11" s="1400"/>
      <c r="AU11" s="1503"/>
      <c r="AV11" s="1400"/>
      <c r="AW11" s="1503"/>
      <c r="AX11" s="1400"/>
      <c r="AY11" s="1400"/>
      <c r="AZ11" s="1400"/>
      <c r="BA11" s="1400"/>
      <c r="BB11" s="1404"/>
      <c r="BC11" s="2274"/>
      <c r="BE11" s="507"/>
      <c r="BF11" s="507"/>
      <c r="BG11" s="507"/>
      <c r="BH11" s="507"/>
      <c r="BI11" s="1162">
        <v>0</v>
      </c>
    </row>
    <row customHeight="1" ht="11.25" hidden="1">
      <c r="A12" s="1370"/>
      <c r="B12" s="1370"/>
      <c r="C12" s="1370"/>
      <c r="D12" s="1370"/>
      <c r="E12" s="2279"/>
      <c r="F12" s="2279"/>
      <c r="G12" s="2279"/>
      <c r="H12" s="2279"/>
      <c r="I12" s="2306"/>
      <c r="J12" s="2306"/>
      <c r="K12" s="2276"/>
      <c r="L12" s="1371"/>
      <c r="P12" s="2277"/>
      <c r="Q12" s="2277"/>
      <c r="R12" s="2367"/>
      <c r="S12" s="2363"/>
      <c r="T12" s="2382"/>
      <c r="U12" s="307"/>
      <c r="V12" s="1400"/>
      <c r="W12" s="1401" t="str">
        <f>Z8&amp;"-"&amp;AB8</f>
        <v>-</v>
      </c>
      <c r="X12" s="1400"/>
      <c r="Y12" s="1401" t="str">
        <f>AB8&amp;"-"&amp;AD8</f>
        <v>-да</v>
      </c>
      <c r="Z12" s="1400"/>
      <c r="AA12" s="1400"/>
      <c r="AB12" s="1400"/>
      <c r="AC12" s="1400"/>
      <c r="AD12" s="2132"/>
      <c r="AE12" s="319"/>
      <c r="AF12" s="321"/>
      <c r="AG12" s="423" t="s">
        <v>504</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74"/>
      <c r="BE12" s="507"/>
      <c r="BF12" s="507" t="str">
        <f>IF(T12="","",T12)</f>
        <v/>
      </c>
      <c r="BG12" s="507"/>
      <c r="BH12" s="507"/>
      <c r="BI12" s="1162">
        <v>0</v>
      </c>
    </row>
    <row customHeight="1" ht="11.25" hidden="1">
      <c r="A13" s="1370"/>
      <c r="B13" s="1370"/>
      <c r="C13" s="1370"/>
      <c r="D13" s="1370"/>
      <c r="E13" s="2279"/>
      <c r="F13" s="2279"/>
      <c r="G13" s="2279"/>
      <c r="H13" s="2279"/>
      <c r="I13" s="2306"/>
      <c r="J13" s="2276"/>
      <c r="K13" s="1370"/>
      <c r="L13" s="1371"/>
      <c r="P13" s="2277"/>
      <c r="Q13" s="2277"/>
      <c r="R13" s="363"/>
      <c r="S13" s="1285"/>
      <c r="T13" s="294" t="s">
        <v>467</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75"/>
      <c r="BE13" s="507"/>
      <c r="BF13" s="507" t="str">
        <f>IF(T13="","",T13)</f>
        <v>Добавить строку</v>
      </c>
      <c r="BG13" s="507"/>
      <c r="BH13" s="507"/>
      <c r="BI13" s="1162">
        <v>0</v>
      </c>
    </row>
    <row s="1649" customFormat="1" customHeight="1" ht="14.25" hidden="1">
      <c r="A14" s="1350"/>
      <c r="B14" s="1350"/>
      <c r="C14" s="1350"/>
      <c r="D14" s="1350"/>
      <c r="E14" s="2279"/>
      <c r="F14" s="2279"/>
      <c r="G14" s="2279"/>
      <c r="H14" s="2279"/>
      <c r="I14" s="2276"/>
      <c r="J14" s="1350"/>
      <c r="K14" s="1350"/>
      <c r="L14" s="1353"/>
      <c r="M14" s="517"/>
      <c r="N14" s="517"/>
      <c r="O14" s="517"/>
      <c r="P14" s="2277"/>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79"/>
      <c r="F15" s="2279"/>
      <c r="G15" s="2279"/>
      <c r="H15" s="2278"/>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79"/>
      <c r="F16" s="2279"/>
      <c r="G16" s="2278"/>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79"/>
      <c r="F17" s="2278"/>
      <c r="G17" s="1321"/>
      <c r="H17" s="1321"/>
      <c r="I17" s="1321"/>
      <c r="J17" s="1321"/>
      <c r="K17" s="1321"/>
      <c r="L17" s="150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78"/>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92" t="s">
        <v>61</v>
      </c>
      <c r="AZ20" s="1742"/>
      <c r="BA20" s="1492" t="s">
        <v>61</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468</v>
      </c>
      <c r="AH24" s="1514" t="s">
        <v>468</v>
      </c>
      <c r="AK24" s="1514" t="s">
        <v>505</v>
      </c>
      <c r="AL24" s="1514" t="s">
        <v>468</v>
      </c>
      <c r="AP24" s="1514" t="s">
        <v>468</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6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50"/>
      <c r="BI28" s="1162">
        <v>14</v>
      </c>
    </row>
    <row customHeight="1" ht="14.699999999999998">
      <c r="Q29" s="298"/>
      <c r="R29" s="383"/>
      <c r="S29" s="2269" t="str">
        <f>IF(org=0,"Не определено",org)</f>
        <v>ИМУП «ПОСЖИЛКОМСЕРВИС»</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0" t="s">
        <v>41</v>
      </c>
      <c r="T31" s="2270"/>
      <c r="U31" s="1379"/>
      <c r="V31" s="2271" t="str">
        <f>IF(TITLE_NAME_OR_PR_CHANGE="",IF(TITLE_NAME_OR_PR="","",TITLE_NAME_OR_PR),TITLE_NAME_OR_PR_CHANGE)</f>
        <v/>
      </c>
      <c r="W31" s="2271"/>
      <c r="X31" s="2271"/>
      <c r="Y31" s="2271"/>
      <c r="Z31" s="2271"/>
      <c r="AA31" s="2271"/>
      <c r="AB31" s="2271"/>
      <c r="AC31" s="333"/>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0" t="s">
        <v>422</v>
      </c>
      <c r="T32" s="2270"/>
      <c r="U32" s="1379"/>
      <c r="V32" s="2284" t="str">
        <f>IF(TITLE_DATE_PR_CHANGE="",IF(TITLE_DATE_PR="","",TITLE_DATE_PR),TITLE_DATE_PR_CHANGE)</f>
        <v/>
      </c>
      <c r="W32" s="2284"/>
      <c r="X32" s="2284"/>
      <c r="Y32" s="2284"/>
      <c r="Z32" s="2284"/>
      <c r="AA32" s="2284"/>
      <c r="AB32" s="2284"/>
      <c r="AC32" s="333"/>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0" t="s">
        <v>423</v>
      </c>
      <c r="T33" s="2270"/>
      <c r="U33" s="1379"/>
      <c r="V33" s="2271" t="str">
        <f>IF(TITLE_NUMBER_PR_CHANGE="",IF(TITLE_NUMBER_PR="","",TITLE_NUMBER_PR),TITLE_NUMBER_PR_CHANGE)</f>
        <v/>
      </c>
      <c r="W33" s="2271"/>
      <c r="X33" s="2271"/>
      <c r="Y33" s="2271"/>
      <c r="Z33" s="2271"/>
      <c r="AA33" s="2271"/>
      <c r="AB33" s="2271"/>
      <c r="AC33" s="333"/>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0" t="s">
        <v>42</v>
      </c>
      <c r="T34" s="2270"/>
      <c r="U34" s="1379"/>
      <c r="V34" s="2271" t="str">
        <f>IF(TITLE_IST_PUB_CHANGE="",IF(TITLE_IST_PUB="","",TITLE_IST_PUB),TITLE_IST_PUB_CHANGE)</f>
        <v/>
      </c>
      <c r="W34" s="2271"/>
      <c r="X34" s="2271"/>
      <c r="Y34" s="2271"/>
      <c r="Z34" s="2271"/>
      <c r="AA34" s="2271"/>
      <c r="AB34" s="2271"/>
      <c r="AC34" s="333"/>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0" t="s">
        <v>422</v>
      </c>
      <c r="T36" s="2270"/>
      <c r="U36" s="1379"/>
      <c r="V36" s="2284" t="str">
        <f>IF(TITLE_DATE_PR_CHANGE="",IF(TITLE_DATE_PR="","",TITLE_DATE_PR),TITLE_DATE_PR_CHANGE)</f>
        <v/>
      </c>
      <c r="W36" s="2284"/>
      <c r="X36" s="2284"/>
      <c r="Y36" s="2284"/>
      <c r="Z36" s="2284"/>
      <c r="AA36" s="2284"/>
      <c r="AB36" s="2284"/>
      <c r="AC36" s="333"/>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0" t="s">
        <v>423</v>
      </c>
      <c r="T37" s="2270"/>
      <c r="U37" s="1379"/>
      <c r="V37" s="2271" t="str">
        <f>IF(TITLE_NUMBER_PR_CHANGE="",IF(TITLE_NUMBER_PR="","",TITLE_NUMBER_PR),TITLE_NUMBER_PR_CHANGE)</f>
        <v/>
      </c>
      <c r="W37" s="2271"/>
      <c r="X37" s="2271"/>
      <c r="Y37" s="2271"/>
      <c r="Z37" s="2271"/>
      <c r="AA37" s="2271"/>
      <c r="AB37" s="2271"/>
      <c r="AC37" s="333"/>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426</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426</v>
      </c>
      <c r="BD38" s="375"/>
      <c r="BE38" s="375"/>
      <c r="BF38" s="375"/>
      <c r="BG38" s="375"/>
      <c r="BH38" s="375"/>
      <c r="BI38" s="425">
        <v>0</v>
      </c>
    </row>
    <row customHeight="1" ht="14.699999999999998">
      <c r="Q39" s="298"/>
      <c r="R39" s="383"/>
      <c r="S39" s="1282"/>
      <c r="T39" s="370"/>
      <c r="U39" s="1251"/>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62">
        <v>14</v>
      </c>
    </row>
    <row customHeight="1" ht="14.699999999999998">
      <c r="Q40" s="298"/>
      <c r="R40" s="383"/>
      <c r="S40" s="2147" t="s">
        <v>299</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300</v>
      </c>
      <c r="BI40" s="1162">
        <v>14</v>
      </c>
    </row>
    <row customHeight="1" ht="14.699999999999998">
      <c r="Q41" s="298"/>
      <c r="R41" s="383"/>
      <c r="S41" s="2293" t="s">
        <v>87</v>
      </c>
      <c r="T41" s="2229" t="s">
        <v>506</v>
      </c>
      <c r="U41" s="308"/>
      <c r="V41" s="2294" t="s">
        <v>428</v>
      </c>
      <c r="W41" s="2295"/>
      <c r="X41" s="2295"/>
      <c r="Y41" s="2295"/>
      <c r="Z41" s="2295"/>
      <c r="AA41" s="2295"/>
      <c r="AB41" s="2296"/>
      <c r="AC41" s="2297" t="s">
        <v>429</v>
      </c>
      <c r="AD41" s="2348" t="s">
        <v>507</v>
      </c>
      <c r="AE41" s="2311"/>
      <c r="AF41" s="2311"/>
      <c r="AG41" s="2349"/>
      <c r="AH41" s="2348" t="s">
        <v>508</v>
      </c>
      <c r="AI41" s="2311"/>
      <c r="AJ41" s="2311"/>
      <c r="AK41" s="2349"/>
      <c r="AL41" s="2348" t="s">
        <v>509</v>
      </c>
      <c r="AM41" s="2311"/>
      <c r="AN41" s="2311"/>
      <c r="AO41" s="2349"/>
      <c r="AP41" s="2348" t="s">
        <v>510</v>
      </c>
      <c r="AQ41" s="2311"/>
      <c r="AR41" s="2311"/>
      <c r="AS41" s="2349"/>
      <c r="AT41" s="2294" t="s">
        <v>428</v>
      </c>
      <c r="AU41" s="2295"/>
      <c r="AV41" s="2295"/>
      <c r="AW41" s="2295"/>
      <c r="AX41" s="2295"/>
      <c r="AY41" s="2295"/>
      <c r="AZ41" s="2296"/>
      <c r="BA41" s="2297" t="s">
        <v>429</v>
      </c>
      <c r="BB41" s="2300" t="s">
        <v>431</v>
      </c>
      <c r="BC41" s="2147"/>
      <c r="BI41" s="1162">
        <v>14</v>
      </c>
    </row>
    <row customHeight="1" ht="35.699999999999996">
      <c r="Q42" s="298"/>
      <c r="R42" s="383"/>
      <c r="S42" s="2293"/>
      <c r="T42" s="2229"/>
      <c r="U42" s="1038"/>
      <c r="V42" s="2212" t="s">
        <v>511</v>
      </c>
      <c r="W42" s="2213"/>
      <c r="X42" s="2212" t="s">
        <v>512</v>
      </c>
      <c r="Y42" s="2213"/>
      <c r="Z42" s="2314" t="s">
        <v>513</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511</v>
      </c>
      <c r="AU42" s="2213"/>
      <c r="AV42" s="2212" t="s">
        <v>512</v>
      </c>
      <c r="AW42" s="2213"/>
      <c r="AX42" s="2314" t="s">
        <v>513</v>
      </c>
      <c r="AY42" s="2333"/>
      <c r="AZ42" s="2334"/>
      <c r="BA42" s="2298"/>
      <c r="BB42" s="2301"/>
      <c r="BC42" s="2147"/>
      <c r="BI42" s="1162">
        <v>34</v>
      </c>
    </row>
    <row customHeight="1" ht="14.699999999999998">
      <c r="Q43" s="298"/>
      <c r="R43" s="383"/>
      <c r="S43" s="2293"/>
      <c r="T43" s="2229"/>
      <c r="U43" s="1038"/>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62">
        <v>14</v>
      </c>
    </row>
    <row customHeight="1" ht="14.699999999999998">
      <c r="A44" s="1377"/>
      <c r="B44" s="1377" t="s">
        <v>136</v>
      </c>
      <c r="C44" s="1377" t="s">
        <v>137</v>
      </c>
      <c r="D44" s="1377" t="s">
        <v>138</v>
      </c>
      <c r="E44" s="1371" t="s">
        <v>436</v>
      </c>
      <c r="F44" s="1371" t="s">
        <v>437</v>
      </c>
      <c r="G44" s="1371" t="s">
        <v>438</v>
      </c>
      <c r="H44" s="1371" t="s">
        <v>439</v>
      </c>
      <c r="I44" s="1371" t="s">
        <v>440</v>
      </c>
      <c r="J44" s="1371" t="s">
        <v>441</v>
      </c>
      <c r="K44" s="1371" t="s">
        <v>442</v>
      </c>
      <c r="L44" s="1371" t="s">
        <v>417</v>
      </c>
      <c r="Q44" s="298"/>
      <c r="R44" s="383"/>
      <c r="S44" s="2293"/>
      <c r="T44" s="2229"/>
      <c r="U44" s="309"/>
      <c r="V44" s="1486" t="s">
        <v>477</v>
      </c>
      <c r="W44" s="1486" t="s">
        <v>478</v>
      </c>
      <c r="X44" s="1486" t="s">
        <v>477</v>
      </c>
      <c r="Y44" s="1486" t="s">
        <v>478</v>
      </c>
      <c r="Z44" s="1496" t="s">
        <v>445</v>
      </c>
      <c r="AA44" s="2290" t="s">
        <v>446</v>
      </c>
      <c r="AB44" s="2291"/>
      <c r="AC44" s="2299"/>
      <c r="AD44" s="2353"/>
      <c r="AE44" s="2354"/>
      <c r="AF44" s="2354"/>
      <c r="AG44" s="2355"/>
      <c r="AH44" s="2353"/>
      <c r="AI44" s="2354"/>
      <c r="AJ44" s="2354"/>
      <c r="AK44" s="2355"/>
      <c r="AL44" s="2353"/>
      <c r="AM44" s="2354"/>
      <c r="AN44" s="2354"/>
      <c r="AO44" s="2355"/>
      <c r="AP44" s="2353"/>
      <c r="AQ44" s="2354"/>
      <c r="AR44" s="2354"/>
      <c r="AS44" s="2355"/>
      <c r="AT44" s="1486" t="s">
        <v>477</v>
      </c>
      <c r="AU44" s="1486" t="s">
        <v>478</v>
      </c>
      <c r="AV44" s="1486" t="s">
        <v>477</v>
      </c>
      <c r="AW44" s="1486" t="s">
        <v>478</v>
      </c>
      <c r="AX44" s="1496" t="s">
        <v>445</v>
      </c>
      <c r="AY44" s="2290" t="s">
        <v>446</v>
      </c>
      <c r="AZ44" s="2291"/>
      <c r="BA44" s="2299"/>
      <c r="BB44" s="2302"/>
      <c r="BC44" s="2147"/>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89">
        <f>OFFSET(V45,0,-1)+1</f>
        <v>3</v>
      </c>
      <c r="W45" s="1489">
        <f>OFFSET(W45,0,-1)+1</f>
        <v>4</v>
      </c>
      <c r="X45" s="1489">
        <f>OFFSET(X45,0,-1)+1</f>
        <v>5</v>
      </c>
      <c r="Y45" s="1489">
        <f>OFFSET(Y45,0,-1)+1</f>
        <v>6</v>
      </c>
      <c r="Z45" s="1489">
        <f>OFFSET(Z45,0,-1)+1</f>
        <v>7</v>
      </c>
      <c r="AA45" s="2292">
        <f>OFFSET(AA45,0,-1)+1</f>
        <v>8</v>
      </c>
      <c r="AB45" s="2292"/>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92">
        <f>OFFSET(AY45,0,-1)+1</f>
        <v>3</v>
      </c>
      <c r="AZ45" s="2292"/>
      <c r="BA45" s="1489">
        <f>OFFSET(BA45,0,-2)+1</f>
        <v>4</v>
      </c>
      <c r="BB45" s="1252">
        <f>OFFSET(BB45,0,-1)</f>
        <v>4</v>
      </c>
      <c r="BC45" s="1489">
        <f>OFFSET(BC45,0,-1)+1</f>
        <v>5</v>
      </c>
      <c r="BD45" s="518"/>
      <c r="BE45" s="518"/>
      <c r="BF45" s="518"/>
      <c r="BG45" s="518"/>
      <c r="BH45" s="518"/>
      <c r="BI45" s="503">
        <v>0</v>
      </c>
    </row>
    <row customHeight="1" ht="22.049999999999997">
      <c r="A46" s="1370" t="s">
        <v>260</v>
      </c>
      <c r="B46" s="1370"/>
      <c r="C46" s="1370"/>
      <c r="D46" s="1370"/>
      <c r="E46" s="2278">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260</v>
      </c>
      <c r="B47" s="1370" t="s">
        <v>261</v>
      </c>
      <c r="C47" s="1370"/>
      <c r="D47" s="1370"/>
      <c r="E47" s="2279"/>
      <c r="F47" s="2278">
        <v>1</v>
      </c>
      <c r="G47" s="1370"/>
      <c r="H47" s="1370"/>
      <c r="I47" s="1370"/>
      <c r="J47" s="1370"/>
      <c r="K47" s="1370"/>
      <c r="L47" s="1371"/>
      <c r="M47" s="1372"/>
      <c r="N47" s="1372"/>
      <c r="O47" s="1372"/>
      <c r="P47" s="1417"/>
      <c r="Q47" s="1418"/>
      <c r="R47" s="360"/>
      <c r="S47" s="1500" t="str">
        <f>INDEX(PT_DIFFERENTIATION_NUM_TER,MATCH(B47,PT_DIFFERENTIATION_TER_ID,0))</f>
        <v>.</v>
      </c>
      <c r="T47" s="315" t="s">
        <v>396</v>
      </c>
      <c r="U47" s="307"/>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65" t="s">
        <v>397</v>
      </c>
      <c r="BE47" s="507"/>
      <c r="BF47" s="507" t="str">
        <f>IF(T47="","",T47)</f>
        <v>Территория действия тарифа</v>
      </c>
      <c r="BG47" s="507"/>
      <c r="BH47" s="507"/>
      <c r="BI47" s="1162">
        <v>21</v>
      </c>
    </row>
    <row customHeight="1" ht="35.699999999999996">
      <c r="A48" s="1370" t="s">
        <v>260</v>
      </c>
      <c r="B48" s="1370" t="s">
        <v>261</v>
      </c>
      <c r="C48" s="1370" t="s">
        <v>262</v>
      </c>
      <c r="D48" s="1370"/>
      <c r="E48" s="2279"/>
      <c r="F48" s="2279"/>
      <c r="G48" s="2278">
        <v>1</v>
      </c>
      <c r="H48" s="1370"/>
      <c r="I48" s="1370"/>
      <c r="J48" s="1370"/>
      <c r="K48" s="1370"/>
      <c r="L48" s="1371"/>
      <c r="M48" s="1372"/>
      <c r="N48" s="1372"/>
      <c r="O48" s="1372"/>
      <c r="P48" s="1419"/>
      <c r="Q48" s="1418"/>
      <c r="R48" s="360"/>
      <c r="S48" s="1500" t="str">
        <f>INDEX(PT_DIFFERENTIATION_NUM_CS,MATCH(C48,PT_DIFFERENTIATION_CS_ID,0))</f>
        <v>..</v>
      </c>
      <c r="T48" s="316" t="s">
        <v>529</v>
      </c>
      <c r="U48" s="307"/>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65" t="s">
        <v>530</v>
      </c>
      <c r="BE48" s="507"/>
      <c r="BF48" s="507" t="str">
        <f>IF(T48="","",T48)</f>
        <v>Наименование централизованной системы горячего водоснабжения</v>
      </c>
      <c r="BG48" s="507"/>
      <c r="BH48" s="507"/>
      <c r="BI48" s="1162">
        <v>34</v>
      </c>
    </row>
    <row s="1649" customFormat="1" customHeight="1" ht="0">
      <c r="A49" s="1350" t="s">
        <v>260</v>
      </c>
      <c r="B49" s="1350" t="s">
        <v>261</v>
      </c>
      <c r="C49" s="1350" t="s">
        <v>262</v>
      </c>
      <c r="D49" s="1350" t="s">
        <v>543</v>
      </c>
      <c r="E49" s="2279"/>
      <c r="F49" s="2279"/>
      <c r="G49" s="2279"/>
      <c r="H49" s="2278">
        <v>1</v>
      </c>
      <c r="I49" s="1350"/>
      <c r="J49" s="1350"/>
      <c r="K49" s="1350"/>
      <c r="L49" s="1353"/>
      <c r="M49" s="1322"/>
      <c r="N49" s="1322"/>
      <c r="O49" s="1322"/>
      <c r="P49" s="1504"/>
      <c r="Q49" s="1505"/>
      <c r="R49" s="364"/>
      <c r="S49" s="1049"/>
      <c r="T49" s="1506"/>
      <c r="U49" s="1391"/>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92" t="s">
        <v>401</v>
      </c>
      <c r="BE49" s="507"/>
      <c r="BF49" s="507" t="str">
        <f>IF(T49="","",T49)</f>
        <v/>
      </c>
      <c r="BG49" s="507"/>
      <c r="BH49" s="507"/>
      <c r="BI49" s="518">
        <v>0</v>
      </c>
    </row>
    <row s="1649" customFormat="1" customHeight="1" ht="0">
      <c r="A50" s="1350" t="s">
        <v>260</v>
      </c>
      <c r="B50" s="1350" t="s">
        <v>261</v>
      </c>
      <c r="C50" s="1350" t="s">
        <v>262</v>
      </c>
      <c r="D50" s="1350" t="s">
        <v>543</v>
      </c>
      <c r="E50" s="2279"/>
      <c r="F50" s="2279"/>
      <c r="G50" s="2279"/>
      <c r="H50" s="2279"/>
      <c r="I50" s="2276" t="str">
        <f>S49&amp;".1"</f>
        <v>.1</v>
      </c>
      <c r="J50" s="1350"/>
      <c r="K50" s="1350"/>
      <c r="L50" s="1353" t="s">
        <v>402</v>
      </c>
      <c r="M50" s="517"/>
      <c r="N50" s="517"/>
      <c r="O50" s="517"/>
      <c r="P50" s="2277">
        <v>1</v>
      </c>
      <c r="Q50" s="1488"/>
      <c r="R50" s="363"/>
      <c r="S50" s="1049"/>
      <c r="T50" s="1390"/>
      <c r="U50" s="1391"/>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92"/>
      <c r="BE50" s="507"/>
      <c r="BF50" s="507" t="str">
        <f>IF(T50="","",T50)</f>
        <v/>
      </c>
      <c r="BG50" s="507"/>
      <c r="BH50" s="507"/>
      <c r="BI50" s="518">
        <v>0</v>
      </c>
    </row>
    <row s="1649" customFormat="1" customHeight="1" ht="0">
      <c r="A51" s="1350" t="s">
        <v>260</v>
      </c>
      <c r="B51" s="1350" t="s">
        <v>261</v>
      </c>
      <c r="C51" s="1350" t="s">
        <v>262</v>
      </c>
      <c r="D51" s="1350" t="s">
        <v>543</v>
      </c>
      <c r="E51" s="2279"/>
      <c r="F51" s="2279"/>
      <c r="G51" s="2279"/>
      <c r="H51" s="2279"/>
      <c r="I51" s="2306"/>
      <c r="J51" s="2276" t="str">
        <f>S49&amp;".1"</f>
        <v>.1</v>
      </c>
      <c r="K51" s="1350"/>
      <c r="L51" s="1353"/>
      <c r="M51" s="517"/>
      <c r="N51" s="517"/>
      <c r="O51" s="517"/>
      <c r="P51" s="2277"/>
      <c r="Q51" s="2277">
        <v>1</v>
      </c>
      <c r="R51" s="364"/>
      <c r="S51" s="1049"/>
      <c r="T51" s="1406"/>
      <c r="U51" s="1391"/>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92"/>
      <c r="BE51" s="507"/>
      <c r="BF51" s="507" t="str">
        <f>IF(T51="","",T51)</f>
        <v/>
      </c>
      <c r="BG51" s="507"/>
      <c r="BH51" s="507"/>
      <c r="BI51" s="518">
        <v>0</v>
      </c>
    </row>
    <row customHeight="1" ht="11.549999999999999">
      <c r="A52" s="1370" t="s">
        <v>260</v>
      </c>
      <c r="B52" s="1370" t="s">
        <v>261</v>
      </c>
      <c r="C52" s="1370" t="s">
        <v>262</v>
      </c>
      <c r="D52" s="1370" t="s">
        <v>543</v>
      </c>
      <c r="E52" s="2279"/>
      <c r="F52" s="2279"/>
      <c r="G52" s="2279"/>
      <c r="H52" s="2279"/>
      <c r="I52" s="2306"/>
      <c r="J52" s="2306"/>
      <c r="K52" s="2276" t="str">
        <f>S48&amp;".1"</f>
        <v>...1</v>
      </c>
      <c r="L52" s="1371"/>
      <c r="P52" s="2277"/>
      <c r="Q52" s="2277"/>
      <c r="R52" s="364">
        <v>1</v>
      </c>
      <c r="S52" s="2361" t="str">
        <f>$K52</f>
        <v>...1</v>
      </c>
      <c r="T52" s="2380"/>
      <c r="U52" s="307"/>
      <c r="V52" s="758"/>
      <c r="W52" s="1264"/>
      <c r="X52" s="758"/>
      <c r="Y52" s="1264"/>
      <c r="Z52" s="1740"/>
      <c r="AA52" s="1476" t="s">
        <v>61</v>
      </c>
      <c r="AB52" s="1740"/>
      <c r="AC52" s="1476" t="s">
        <v>61</v>
      </c>
      <c r="AD52" s="2205" t="s">
        <v>61</v>
      </c>
      <c r="AE52" s="2346"/>
      <c r="AF52" s="2225">
        <v>1</v>
      </c>
      <c r="AG52" s="2383"/>
      <c r="AH52" s="2127" t="s">
        <v>61</v>
      </c>
      <c r="AI52" s="2346"/>
      <c r="AJ52" s="2225">
        <v>1</v>
      </c>
      <c r="AK52" s="2347" t="s">
        <v>22</v>
      </c>
      <c r="AL52" s="2127" t="s">
        <v>61</v>
      </c>
      <c r="AM52" s="2212"/>
      <c r="AN52" s="2225">
        <v>1</v>
      </c>
      <c r="AO52" s="2377"/>
      <c r="AP52" s="2378" t="s">
        <v>61</v>
      </c>
      <c r="AQ52" s="318"/>
      <c r="AR52" s="1493">
        <v>1</v>
      </c>
      <c r="AS52" s="1499" t="s">
        <v>22</v>
      </c>
      <c r="AT52" s="758"/>
      <c r="AU52" s="1264"/>
      <c r="AV52" s="758"/>
      <c r="AW52" s="1264"/>
      <c r="AX52" s="1740"/>
      <c r="AY52" s="1476" t="s">
        <v>61</v>
      </c>
      <c r="AZ52" s="1740"/>
      <c r="BA52" s="1476" t="s">
        <v>61</v>
      </c>
      <c r="BB52" s="1355"/>
      <c r="BC52" s="2273" t="s">
        <v>500</v>
      </c>
      <c r="BE52" s="507"/>
      <c r="BF52" s="507" t="str">
        <f>IF(T52="","",T52)</f>
        <v/>
      </c>
      <c r="BG52" s="507"/>
      <c r="BH52" s="507"/>
      <c r="BI52" s="1162">
        <v>11</v>
      </c>
    </row>
    <row customHeight="1" ht="11.549999999999999">
      <c r="A53" s="1370"/>
      <c r="B53" s="1370"/>
      <c r="C53" s="1370"/>
      <c r="D53" s="1370"/>
      <c r="E53" s="2279"/>
      <c r="F53" s="2279"/>
      <c r="G53" s="2279"/>
      <c r="H53" s="2279"/>
      <c r="I53" s="2306"/>
      <c r="J53" s="2306"/>
      <c r="K53" s="2276"/>
      <c r="L53" s="1371"/>
      <c r="P53" s="2277"/>
      <c r="Q53" s="2277"/>
      <c r="R53" s="364"/>
      <c r="S53" s="2362"/>
      <c r="T53" s="2381"/>
      <c r="U53" s="307"/>
      <c r="V53" s="1400"/>
      <c r="W53" s="1503"/>
      <c r="X53" s="1400"/>
      <c r="Y53" s="1503"/>
      <c r="Z53" s="1400"/>
      <c r="AA53" s="1400"/>
      <c r="AB53" s="1400"/>
      <c r="AC53" s="1400"/>
      <c r="AD53" s="2206"/>
      <c r="AE53" s="2346"/>
      <c r="AF53" s="2225"/>
      <c r="AG53" s="2383"/>
      <c r="AH53" s="2127"/>
      <c r="AI53" s="2346"/>
      <c r="AJ53" s="2225"/>
      <c r="AK53" s="2347"/>
      <c r="AL53" s="2127"/>
      <c r="AM53" s="2220"/>
      <c r="AN53" s="2225"/>
      <c r="AO53" s="2377"/>
      <c r="AP53" s="2379"/>
      <c r="AQ53" s="323"/>
      <c r="AR53" s="423"/>
      <c r="AS53" s="423" t="s">
        <v>501</v>
      </c>
      <c r="AT53" s="1400"/>
      <c r="AU53" s="1503"/>
      <c r="AV53" s="1400"/>
      <c r="AW53" s="1503"/>
      <c r="AX53" s="1400"/>
      <c r="AY53" s="1400"/>
      <c r="AZ53" s="1400"/>
      <c r="BA53" s="1400"/>
      <c r="BB53" s="1404"/>
      <c r="BC53" s="2274"/>
      <c r="BE53" s="507"/>
      <c r="BF53" s="507"/>
      <c r="BG53" s="507"/>
      <c r="BH53" s="507"/>
      <c r="BI53" s="1162">
        <v>11</v>
      </c>
    </row>
    <row customHeight="1" ht="11.549999999999999">
      <c r="A54" s="1370" t="s">
        <v>260</v>
      </c>
      <c r="B54" s="1370"/>
      <c r="C54" s="1370"/>
      <c r="D54" s="1370"/>
      <c r="E54" s="2279"/>
      <c r="F54" s="2279"/>
      <c r="G54" s="2279"/>
      <c r="H54" s="2279"/>
      <c r="I54" s="2306"/>
      <c r="J54" s="2306"/>
      <c r="K54" s="2276"/>
      <c r="L54" s="1371"/>
      <c r="P54" s="2277"/>
      <c r="Q54" s="2277"/>
      <c r="R54" s="364"/>
      <c r="S54" s="2362"/>
      <c r="T54" s="2381"/>
      <c r="U54" s="307"/>
      <c r="V54" s="1400"/>
      <c r="W54" s="1503"/>
      <c r="X54" s="1400"/>
      <c r="Y54" s="1503"/>
      <c r="Z54" s="1400"/>
      <c r="AA54" s="1400"/>
      <c r="AB54" s="1400"/>
      <c r="AC54" s="1400"/>
      <c r="AD54" s="2206"/>
      <c r="AE54" s="2346"/>
      <c r="AF54" s="2225"/>
      <c r="AG54" s="2383"/>
      <c r="AH54" s="2127"/>
      <c r="AI54" s="2346"/>
      <c r="AJ54" s="2225"/>
      <c r="AK54" s="2347"/>
      <c r="AL54" s="2127"/>
      <c r="AM54" s="323"/>
      <c r="AN54" s="1507"/>
      <c r="AO54" s="1507" t="s">
        <v>502</v>
      </c>
      <c r="AP54" s="423"/>
      <c r="AQ54" s="423"/>
      <c r="AR54" s="423"/>
      <c r="AS54" s="1400"/>
      <c r="AT54" s="1400"/>
      <c r="AU54" s="1503"/>
      <c r="AV54" s="1400"/>
      <c r="AW54" s="1503"/>
      <c r="AX54" s="1400"/>
      <c r="AY54" s="1400"/>
      <c r="AZ54" s="1400"/>
      <c r="BA54" s="1400"/>
      <c r="BB54" s="1404"/>
      <c r="BC54" s="2274"/>
      <c r="BE54" s="507"/>
      <c r="BF54" s="507"/>
      <c r="BG54" s="507"/>
      <c r="BH54" s="507"/>
      <c r="BI54" s="1162">
        <v>11</v>
      </c>
    </row>
    <row customHeight="1" ht="11.549999999999999">
      <c r="A55" s="1370" t="s">
        <v>260</v>
      </c>
      <c r="B55" s="1370"/>
      <c r="C55" s="1370"/>
      <c r="D55" s="1370"/>
      <c r="E55" s="2279"/>
      <c r="F55" s="2279"/>
      <c r="G55" s="2279"/>
      <c r="H55" s="2279"/>
      <c r="I55" s="2306"/>
      <c r="J55" s="2306"/>
      <c r="K55" s="2276"/>
      <c r="L55" s="1371"/>
      <c r="P55" s="2277"/>
      <c r="Q55" s="2277"/>
      <c r="R55" s="364"/>
      <c r="S55" s="2362"/>
      <c r="T55" s="2381"/>
      <c r="U55" s="307"/>
      <c r="V55" s="1400"/>
      <c r="W55" s="1503"/>
      <c r="X55" s="1400"/>
      <c r="Y55" s="1503"/>
      <c r="Z55" s="1400"/>
      <c r="AA55" s="1400"/>
      <c r="AB55" s="1400"/>
      <c r="AC55" s="1400"/>
      <c r="AD55" s="2206"/>
      <c r="AE55" s="2346"/>
      <c r="AF55" s="2225"/>
      <c r="AG55" s="2383"/>
      <c r="AH55" s="2127"/>
      <c r="AI55" s="301"/>
      <c r="AJ55" s="422"/>
      <c r="AK55" s="320" t="s">
        <v>503</v>
      </c>
      <c r="AL55" s="1400"/>
      <c r="AM55" s="1400"/>
      <c r="AN55" s="1400"/>
      <c r="AO55" s="1400"/>
      <c r="AP55" s="1400"/>
      <c r="AQ55" s="1400"/>
      <c r="AR55" s="1400"/>
      <c r="AS55" s="1400"/>
      <c r="AT55" s="1400"/>
      <c r="AU55" s="1503"/>
      <c r="AV55" s="1400"/>
      <c r="AW55" s="1503"/>
      <c r="AX55" s="1400"/>
      <c r="AY55" s="1400"/>
      <c r="AZ55" s="1400"/>
      <c r="BA55" s="1400"/>
      <c r="BB55" s="1404"/>
      <c r="BC55" s="2274"/>
      <c r="BE55" s="507"/>
      <c r="BF55" s="507"/>
      <c r="BG55" s="507"/>
      <c r="BH55" s="507"/>
      <c r="BI55" s="1162">
        <v>11</v>
      </c>
    </row>
    <row customHeight="1" ht="11.549999999999999">
      <c r="A56" s="1370" t="s">
        <v>260</v>
      </c>
      <c r="B56" s="1370" t="s">
        <v>261</v>
      </c>
      <c r="C56" s="1370" t="s">
        <v>262</v>
      </c>
      <c r="D56" s="1370" t="s">
        <v>543</v>
      </c>
      <c r="E56" s="2279"/>
      <c r="F56" s="2279"/>
      <c r="G56" s="2279"/>
      <c r="H56" s="2279"/>
      <c r="I56" s="2306"/>
      <c r="J56" s="2306"/>
      <c r="K56" s="2276"/>
      <c r="L56" s="1371"/>
      <c r="P56" s="2277"/>
      <c r="Q56" s="2277"/>
      <c r="R56" s="364"/>
      <c r="S56" s="2363"/>
      <c r="T56" s="2382"/>
      <c r="U56" s="307"/>
      <c r="V56" s="1400"/>
      <c r="W56" s="1401" t="str">
        <f>Z52&amp;"-"&amp;AB52</f>
        <v>-</v>
      </c>
      <c r="X56" s="1400"/>
      <c r="Y56" s="1401" t="str">
        <f>AB52&amp;"-"&amp;AD52</f>
        <v>-да</v>
      </c>
      <c r="Z56" s="1400"/>
      <c r="AA56" s="1400"/>
      <c r="AB56" s="1400"/>
      <c r="AC56" s="1400"/>
      <c r="AD56" s="2132"/>
      <c r="AE56" s="319"/>
      <c r="AF56" s="321"/>
      <c r="AG56" s="423" t="s">
        <v>504</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74"/>
      <c r="BE56" s="507"/>
      <c r="BF56" s="507" t="str">
        <f>IF(T56="","",T56)</f>
        <v/>
      </c>
      <c r="BG56" s="507"/>
      <c r="BH56" s="507"/>
      <c r="BI56" s="1162">
        <v>11</v>
      </c>
    </row>
    <row customHeight="1" ht="11.549999999999999">
      <c r="A57" s="1370" t="s">
        <v>260</v>
      </c>
      <c r="B57" s="1370" t="s">
        <v>261</v>
      </c>
      <c r="C57" s="1370" t="s">
        <v>262</v>
      </c>
      <c r="D57" s="1370" t="s">
        <v>543</v>
      </c>
      <c r="E57" s="2279"/>
      <c r="F57" s="2279"/>
      <c r="G57" s="2279"/>
      <c r="H57" s="2279"/>
      <c r="I57" s="2306"/>
      <c r="J57" s="2276"/>
      <c r="K57" s="1370"/>
      <c r="L57" s="1371"/>
      <c r="P57" s="2277"/>
      <c r="Q57" s="2277"/>
      <c r="R57" s="363"/>
      <c r="S57" s="1285"/>
      <c r="T57" s="294" t="s">
        <v>467</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75"/>
      <c r="BE57" s="507"/>
      <c r="BF57" s="507" t="str">
        <f>IF(T57="","",T57)</f>
        <v>Добавить строку</v>
      </c>
      <c r="BG57" s="507"/>
      <c r="BH57" s="507"/>
      <c r="BI57" s="1162">
        <v>11</v>
      </c>
    </row>
    <row s="1649" customFormat="1" customHeight="1" ht="0">
      <c r="A58" s="1350" t="s">
        <v>260</v>
      </c>
      <c r="B58" s="1350" t="s">
        <v>261</v>
      </c>
      <c r="C58" s="1350" t="s">
        <v>262</v>
      </c>
      <c r="D58" s="1350" t="s">
        <v>543</v>
      </c>
      <c r="E58" s="2279"/>
      <c r="F58" s="2279"/>
      <c r="G58" s="2279"/>
      <c r="H58" s="2279"/>
      <c r="I58" s="2276"/>
      <c r="J58" s="1350"/>
      <c r="K58" s="1350"/>
      <c r="L58" s="1353"/>
      <c r="M58" s="517"/>
      <c r="N58" s="517"/>
      <c r="O58" s="517"/>
      <c r="P58" s="2277"/>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260</v>
      </c>
      <c r="B59" s="1350" t="s">
        <v>261</v>
      </c>
      <c r="C59" s="1350" t="s">
        <v>262</v>
      </c>
      <c r="D59" s="1350" t="s">
        <v>543</v>
      </c>
      <c r="E59" s="2279"/>
      <c r="F59" s="2279"/>
      <c r="G59" s="2279"/>
      <c r="H59" s="2278"/>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260</v>
      </c>
      <c r="B60" s="1350" t="s">
        <v>261</v>
      </c>
      <c r="C60" s="1350" t="s">
        <v>262</v>
      </c>
      <c r="D60" s="1321"/>
      <c r="E60" s="2279"/>
      <c r="F60" s="2279"/>
      <c r="G60" s="2278"/>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260</v>
      </c>
      <c r="B61" s="1350" t="s">
        <v>261</v>
      </c>
      <c r="C61" s="1321"/>
      <c r="D61" s="1321"/>
      <c r="E61" s="2279"/>
      <c r="F61" s="2278"/>
      <c r="G61" s="1321"/>
      <c r="H61" s="1321"/>
      <c r="I61" s="1321"/>
      <c r="J61" s="1321"/>
      <c r="K61" s="1321"/>
      <c r="L61" s="150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260</v>
      </c>
      <c r="B62" s="1350"/>
      <c r="C62" s="1350"/>
      <c r="D62" s="1350"/>
      <c r="E62" s="2278"/>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447</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62">
        <v>19</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D92CC-E542-3919-DFBE-0.A864B724}" mc:Ignorable="x14ac xr xr2 xr3">
  <sheetPr>
    <tabColor theme="9" tint="-0.25"/>
  </sheetPr>
  <dimension ref="A1:AF322"/>
  <sheetViews>
    <sheetView topLeftCell="A1" showGridLines="0" zoomScale="90" workbookViewId="0">
      <selection activeCell="I138" sqref="I138"/>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19"/>
      <c r="C2" s="1174" t="s">
        <v>544</v>
      </c>
      <c r="D2" s="1645"/>
      <c r="E2" s="553">
        <f>B2</f>
        <v>0</v>
      </c>
      <c r="F2" s="554"/>
      <c r="G2" s="1653" t="s">
        <v>545</v>
      </c>
      <c r="H2" s="1653" t="s">
        <v>545</v>
      </c>
      <c r="I2" s="1653" t="s">
        <v>545</v>
      </c>
      <c r="J2" s="296" t="s">
        <v>546</v>
      </c>
      <c r="K2" s="550"/>
      <c r="AF2" s="1638">
        <v>0</v>
      </c>
    </row>
    <row s="1649" customFormat="1" customHeight="1" ht="0.75" hidden="1">
      <c r="B3" s="2119"/>
      <c r="C3" s="1174"/>
      <c r="D3" s="555"/>
      <c r="E3" s="556"/>
      <c r="F3" s="557" t="s">
        <v>547</v>
      </c>
      <c r="G3" s="558"/>
      <c r="H3" s="1020">
        <f>H4*H5+H6</f>
        <v>0</v>
      </c>
      <c r="I3" s="558">
        <f>I4*I5+I6</f>
        <v>0</v>
      </c>
      <c r="J3" s="559"/>
      <c r="AF3" s="1643">
        <v>0</v>
      </c>
    </row>
    <row customHeight="1" ht="23.25" hidden="1">
      <c r="B4" s="2119"/>
      <c r="C4" s="1174"/>
      <c r="D4" s="1645"/>
      <c r="E4" s="553" t="str">
        <f>B2&amp;".1"</f>
        <v>.1</v>
      </c>
      <c r="F4" s="560" t="s">
        <v>548</v>
      </c>
      <c r="G4" s="561"/>
      <c r="H4" s="548"/>
      <c r="I4" s="548"/>
      <c r="J4" s="296" t="s">
        <v>549</v>
      </c>
      <c r="K4" s="550"/>
      <c r="AF4" s="1638">
        <v>0</v>
      </c>
    </row>
    <row customHeight="1" ht="18.75" hidden="1">
      <c r="B5" s="2119"/>
      <c r="C5" s="1174"/>
      <c r="D5" s="1645"/>
      <c r="E5" s="553" t="str">
        <f>B2&amp;".2"</f>
        <v>.2</v>
      </c>
      <c r="F5" s="560" t="s">
        <v>550</v>
      </c>
      <c r="G5" s="1653" t="s">
        <v>551</v>
      </c>
      <c r="H5" s="548"/>
      <c r="I5" s="548"/>
      <c r="J5" s="296"/>
      <c r="K5" s="550"/>
      <c r="AF5" s="1638">
        <v>0</v>
      </c>
    </row>
    <row customHeight="1" ht="18.75" hidden="1">
      <c r="B6" s="2119"/>
      <c r="C6" s="1174"/>
      <c r="D6" s="1645"/>
      <c r="E6" s="553" t="str">
        <f>B2&amp;".3"</f>
        <v>.3</v>
      </c>
      <c r="F6" s="560" t="s">
        <v>552</v>
      </c>
      <c r="G6" s="1653" t="s">
        <v>551</v>
      </c>
      <c r="H6" s="548"/>
      <c r="I6" s="548"/>
      <c r="J6" s="296"/>
      <c r="K6" s="550"/>
      <c r="AF6" s="1638">
        <v>0</v>
      </c>
    </row>
    <row customHeight="1" ht="18.75" hidden="1">
      <c r="B7" s="2119"/>
      <c r="C7" s="1174"/>
      <c r="D7" s="1645"/>
      <c r="E7" s="553" t="str">
        <f>B2&amp;".4"</f>
        <v>.4</v>
      </c>
      <c r="F7" s="560" t="s">
        <v>553</v>
      </c>
      <c r="G7" s="1653" t="s">
        <v>545</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551</v>
      </c>
      <c r="H9" s="548"/>
      <c r="I9" s="548"/>
      <c r="J9" s="549" t="s">
        <v>554</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555</v>
      </c>
      <c r="H11" s="548"/>
      <c r="I11" s="548"/>
      <c r="J11" s="296" t="s">
        <v>556</v>
      </c>
      <c r="K11" s="550"/>
      <c r="AF11" s="1638">
        <v>0</v>
      </c>
    </row>
    <row customHeight="1" ht="11.25" hidden="1">
      <c r="AF12" s="1638">
        <v>0</v>
      </c>
    </row>
    <row customHeight="1" ht="22.5" hidden="1">
      <c r="D13" s="1645"/>
      <c r="E13" s="553"/>
      <c r="F13" s="547"/>
      <c r="G13" s="976" t="s">
        <v>557</v>
      </c>
      <c r="H13" s="552"/>
      <c r="I13" s="552"/>
      <c r="J13" s="752" t="s">
        <v>558</v>
      </c>
      <c r="K13" s="550"/>
      <c r="AF13" s="1638">
        <v>0</v>
      </c>
    </row>
    <row customHeight="1" ht="11.25" hidden="1">
      <c r="AF14" s="1638">
        <v>0</v>
      </c>
    </row>
    <row customHeight="1" ht="22.5" hidden="1">
      <c r="D15" s="1645"/>
      <c r="E15" s="553"/>
      <c r="F15" s="547"/>
      <c r="G15" s="1653" t="s">
        <v>559</v>
      </c>
      <c r="H15" s="552"/>
      <c r="I15" s="552"/>
      <c r="J15" s="296" t="s">
        <v>560</v>
      </c>
      <c r="K15" s="550"/>
      <c r="AF15" s="1638">
        <v>0</v>
      </c>
    </row>
    <row customHeight="1" ht="11.25" hidden="1">
      <c r="AF16" s="1638">
        <v>0</v>
      </c>
    </row>
    <row customHeight="1" ht="22.5" hidden="1">
      <c r="D17" s="1645"/>
      <c r="E17" s="553"/>
      <c r="F17" s="547"/>
      <c r="G17" s="1653" t="s">
        <v>561</v>
      </c>
      <c r="H17" s="552"/>
      <c r="I17" s="552"/>
      <c r="J17" s="296" t="s">
        <v>562</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6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68"/>
      <c r="G21" s="2268"/>
      <c r="H21" s="2268"/>
      <c r="I21" s="2268"/>
      <c r="J21" s="563"/>
      <c r="AF21" s="1638">
        <v>24</v>
      </c>
    </row>
    <row customHeight="1" ht="25.2">
      <c r="E22" s="2269" t="str">
        <f>IF(org=0,"Не определено",org)</f>
        <v>ИМУП «ПОСЖИЛКОМСЕРВИС»</v>
      </c>
      <c r="F22" s="2269"/>
      <c r="G22" s="2269"/>
      <c r="H22" s="2269"/>
      <c r="I22" s="2269"/>
      <c r="AF22" s="1638">
        <v>24</v>
      </c>
    </row>
    <row customHeight="1" ht="11.549999999999999">
      <c r="E23" s="1142"/>
      <c r="F23" s="1142"/>
      <c r="G23" s="1142"/>
      <c r="H23" s="1142"/>
      <c r="I23" s="1142"/>
      <c r="AF23" s="1638">
        <v>11</v>
      </c>
    </row>
    <row s="1649" customFormat="1" customHeight="1" ht="1.05">
      <c r="A24" s="1174"/>
      <c r="D24" s="1649"/>
      <c r="H24" s="896"/>
      <c r="I24" s="896" t="s">
        <v>117</v>
      </c>
      <c r="AF24" s="1643">
        <v>1</v>
      </c>
    </row>
    <row customHeight="1" ht="11.549999999999999">
      <c r="E25" s="718"/>
      <c r="F25" s="2387" t="s">
        <v>105</v>
      </c>
      <c r="G25" s="2388"/>
      <c r="H25" s="1659" t="str">
        <f>IF(H24="","",INDEX(DIFFERENTIATION_UNMERGE_VD,MATCH(H24,DIFFERENTIATION_ID_DIFF,0)))</f>
        <v/>
      </c>
      <c r="I25" s="1659" t="str">
        <f>IF(I24="","",INDEX(DIFFERENTIATION_UNMERGE_VD,MATCH(I24,DIFFERENTIATION_ID_DIFF,0)))</f>
        <v>Холодное водоснабжение. Питьевая вода</v>
      </c>
      <c r="J25" s="2147"/>
      <c r="AF25" s="1638">
        <v>11</v>
      </c>
    </row>
    <row customHeight="1" ht="11.549999999999999">
      <c r="E26" s="718"/>
      <c r="F26" s="2387" t="s">
        <v>563</v>
      </c>
      <c r="G26" s="2388"/>
      <c r="H26" s="1659" t="str">
        <f>IF(H24="","",INDEX(DIFFERENTIATION_UNMERGE_AREA,MATCH(H24,DIFFERENTIATION_ID_DIFF,0)))</f>
        <v/>
      </c>
      <c r="I26" s="1659" t="str">
        <f>IF(I24="","",INDEX(DIFFERENTIATION_UNMERGE_AREA,MATCH(I24,DIFFERENTIATION_ID_DIFF,0)))</f>
        <v>Территория 1</v>
      </c>
      <c r="J26" s="2147"/>
      <c r="AF26" s="1638">
        <v>11</v>
      </c>
    </row>
    <row customHeight="1" ht="11.549999999999999">
      <c r="E27" s="718"/>
      <c r="F27" s="2387" t="s">
        <v>564</v>
      </c>
      <c r="G27" s="2388"/>
      <c r="H27" s="1659" t="str">
        <f>IF(H24="","",INDEX(DIFFERENTIATION_UNMERGE_SYSTEM,MATCH(H24,DIFFERENTIATION_ID_DIFF,0)))</f>
        <v/>
      </c>
      <c r="I27" s="1659" t="str">
        <f>IF(I24="","",INDEX(DIFFERENTIATION_UNMERGE_SYSTEM,MATCH(I24,DIFFERENTIATION_ID_DIFF,0)))</f>
        <v>без дифференциации</v>
      </c>
      <c r="J27" s="2147"/>
      <c r="AF27" s="1638">
        <v>11</v>
      </c>
    </row>
    <row customHeight="1" ht="11.549999999999999">
      <c r="E28" s="2389" t="s">
        <v>299</v>
      </c>
      <c r="F28" s="2390"/>
      <c r="G28" s="2390"/>
      <c r="H28" s="1652"/>
      <c r="I28" s="1652"/>
      <c r="J28" s="2147"/>
      <c r="AF28" s="1638">
        <v>11</v>
      </c>
    </row>
    <row customHeight="1" ht="24">
      <c r="E29" s="1653" t="s">
        <v>87</v>
      </c>
      <c r="F29" s="1660" t="s">
        <v>301</v>
      </c>
      <c r="G29" s="1660" t="s">
        <v>565</v>
      </c>
      <c r="H29" s="1660" t="s">
        <v>302</v>
      </c>
      <c r="I29" s="1660" t="s">
        <v>302</v>
      </c>
      <c r="J29" s="2147"/>
      <c r="AF29" s="1638">
        <v>23</v>
      </c>
    </row>
    <row customHeight="1" ht="20.25">
      <c r="D30" s="1645"/>
      <c r="E30" s="553">
        <f>FHD_NUM_P_1</f>
        <v>1</v>
      </c>
      <c r="F30" s="1884" t="str">
        <f>FHD_P_1</f>
        <v>Выручка от регулируемых видов деятельности в сфере холодного водоснабжения</v>
      </c>
      <c r="G30" s="1882" t="s">
        <v>551</v>
      </c>
      <c r="H30" s="564"/>
      <c r="I30" s="564">
        <v>14639.1</v>
      </c>
      <c r="J30" s="296" t="str">
        <f>FHD_NOTE_P_1</f>
        <v>Указывается выручка с распределением по видам деятельности.</v>
      </c>
      <c r="K30" s="550"/>
      <c r="AF30" s="1638">
        <v>19</v>
      </c>
    </row>
    <row customHeight="1" ht="11.549999999999999">
      <c r="D31" s="1645"/>
      <c r="E31" s="553">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551</v>
      </c>
      <c r="H31" s="565">
        <f>SUMIF($K32:$K88,$K31,H32:H88)</f>
        <v>0</v>
      </c>
      <c r="I31" s="565">
        <f>SUMIF($K32:$K88,$K31,I32:I88)</f>
        <v>21835.85</v>
      </c>
      <c r="J31" s="296" t="str">
        <f>FHD_NOTE_P_2</f>
        <v>Указывается суммарная себестоимость производимых товаров.</v>
      </c>
      <c r="K31" s="1643" t="s">
        <v>566</v>
      </c>
      <c r="AF31" s="1638">
        <v>11</v>
      </c>
    </row>
    <row customHeight="1" ht="11.549999999999999">
      <c r="D32" s="1645"/>
      <c r="E32" s="553" t="str">
        <f>FHD_NUM_P_3</f>
        <v>2.1</v>
      </c>
      <c r="F32" s="1531" t="str">
        <f>FHD_P_3</f>
        <v>Расходы на оплату холодной воды, приобретаемой у других организаций для последующей подачи потребителям</v>
      </c>
      <c r="G32" s="1882" t="s">
        <v>551</v>
      </c>
      <c r="H32" s="564"/>
      <c r="I32" s="564">
        <v>0</v>
      </c>
      <c r="J32" s="296" t="str">
        <f>FHD_NOTE_P_3</f>
        <v/>
      </c>
      <c r="K32" s="1643" t="str">
        <f>IF((LEN(E32)-LEN(SUBSTITUTE(E32,".","")))/LEN(".")=1,"p","")</f>
        <v>p</v>
      </c>
      <c r="AF32" s="1638">
        <v>11</v>
      </c>
    </row>
    <row customHeight="1" ht="11.25" hidden="1">
      <c r="A33" s="2391" t="s">
        <v>567</v>
      </c>
      <c r="D33" s="1645"/>
      <c r="E33" s="553" t="str">
        <f>FHD_NUM_P_4</f>
        <v/>
      </c>
      <c r="F33" s="1531" t="str">
        <f>FHD_P_4</f>
        <v/>
      </c>
      <c r="G33" s="1882" t="s">
        <v>551</v>
      </c>
      <c r="H33" s="565">
        <f>SUMIF($F34:$F40,$F3,H34:H40)</f>
        <v>0</v>
      </c>
      <c r="I33" s="565">
        <f>SUMIF($F34:$F40,$F3,I34:I40)</f>
        <v>0</v>
      </c>
      <c r="J33" s="296" t="str">
        <f>FHD_NOTE_P_4</f>
        <v/>
      </c>
      <c r="K33" s="1643" t="str">
        <f>IF((LEN(E33)-LEN(SUBSTITUTE(E33,".","")))/LEN(".")=1,"p","")</f>
        <v/>
      </c>
      <c r="AF33" s="1638">
        <v>0</v>
      </c>
    </row>
    <row s="1648" customFormat="1" customHeight="1" ht="0.75" hidden="1">
      <c r="A34" s="2391"/>
      <c r="B34" s="2392" t="str">
        <f>E33&amp;".0"</f>
        <v>.0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hidden="1">
      <c r="A35" s="2391"/>
      <c r="B35" s="2392"/>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hidden="1">
      <c r="A36" s="2391"/>
      <c r="B36" s="2392"/>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hidden="1">
      <c r="A37" s="2391"/>
      <c r="B37" s="2392"/>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hidden="1">
      <c r="A38" s="2391"/>
      <c r="B38" s="2392"/>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hidden="1">
      <c r="A39" s="2391"/>
      <c r="B39" s="2392"/>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hidden="1">
      <c r="A40" s="2391"/>
      <c r="C40" s="1643"/>
      <c r="D40" s="1640"/>
      <c r="E40" s="577"/>
      <c r="F40" s="578" t="s">
        <v>568</v>
      </c>
      <c r="G40" s="579"/>
      <c r="H40" s="580"/>
      <c r="I40" s="580"/>
      <c r="J40" s="308"/>
      <c r="K40" s="1643" t="str">
        <f>IF((LEN(E40)-LEN(SUBSTITUTE(E40,".","")))/LEN(".")=1,"p","")</f>
        <v/>
      </c>
      <c r="L40" s="1643"/>
      <c r="M40" s="1643"/>
      <c r="R40" s="1643"/>
      <c r="U40" s="551"/>
      <c r="AA40" s="1639"/>
      <c r="AB40" s="1639"/>
      <c r="AC40" s="1639"/>
      <c r="AD40" s="1639"/>
      <c r="AE40" s="1639"/>
      <c r="AF40" s="1167">
        <v>0</v>
      </c>
    </row>
    <row customHeight="1" ht="11.25" hidden="1">
      <c r="A41" s="2391" t="s">
        <v>569</v>
      </c>
      <c r="D41" s="1645"/>
      <c r="E41" s="553" t="str">
        <f>FHD_NUM_P_5</f>
        <v/>
      </c>
      <c r="F41" s="1531" t="str">
        <f>FHD_P_5</f>
        <v/>
      </c>
      <c r="G41" s="1882" t="s">
        <v>551</v>
      </c>
      <c r="H41" s="564"/>
      <c r="I41" s="564"/>
      <c r="J41" s="296" t="str">
        <f>FHD_NOTE_P_5</f>
        <v/>
      </c>
      <c r="K41" s="1643" t="str">
        <f>IF((LEN(E41)-LEN(SUBSTITUTE(E41,".","")))/LEN(".")=1,"p","")</f>
        <v/>
      </c>
      <c r="AF41" s="1638">
        <v>0</v>
      </c>
    </row>
    <row customHeight="1" ht="11.25" hidden="1">
      <c r="A42" s="2391"/>
      <c r="D42" s="1645"/>
      <c r="E42" s="553" t="str">
        <f>FHD_NUM_P_6</f>
        <v/>
      </c>
      <c r="F42" s="1531" t="str">
        <f>FHD_P_6</f>
        <v/>
      </c>
      <c r="G42" s="1882" t="s">
        <v>551</v>
      </c>
      <c r="H42" s="564"/>
      <c r="I42" s="564"/>
      <c r="J42" s="296" t="str">
        <f>FHD_NOTE_P_6</f>
        <v/>
      </c>
      <c r="K42" s="1643" t="str">
        <f>IF((LEN(E42)-LEN(SUBSTITUTE(E42,".","")))/LEN(".")=1,"p","")</f>
        <v/>
      </c>
      <c r="AF42" s="1638">
        <v>0</v>
      </c>
    </row>
    <row customHeight="1" ht="11.25" hidden="1">
      <c r="A43" s="2391"/>
      <c r="D43" s="1645"/>
      <c r="E43" s="553" t="str">
        <f>FHD_NUM_P_7</f>
        <v/>
      </c>
      <c r="F43" s="1531" t="str">
        <f>FHD_P_7</f>
        <v/>
      </c>
      <c r="G43" s="1882" t="s">
        <v>551</v>
      </c>
      <c r="H43" s="564"/>
      <c r="I43" s="564"/>
      <c r="J43" s="296" t="str">
        <f>FHD_NOTE_P_7</f>
        <v/>
      </c>
      <c r="K43" s="1643" t="str">
        <f>IF((LEN(E43)-LEN(SUBSTITUTE(E43,".","")))/LEN(".")=1,"p","")</f>
        <v/>
      </c>
      <c r="AF43" s="1638">
        <v>0</v>
      </c>
    </row>
    <row customHeight="1" ht="11.549999999999999">
      <c r="D44" s="1645"/>
      <c r="E44" s="553" t="str">
        <f>FHD_NUM_P_8</f>
        <v>2.2</v>
      </c>
      <c r="F44" s="1531" t="str">
        <f>FHD_P_8</f>
        <v>Расходы на приобретаемую электрическую энергию (мощность), используемую в технологическом процессе</v>
      </c>
      <c r="G44" s="1882" t="s">
        <v>551</v>
      </c>
      <c r="H44" s="564"/>
      <c r="I44" s="564">
        <v>1222.8</v>
      </c>
      <c r="J44" s="296" t="str">
        <f>FHD_NOTE_P_8</f>
        <v/>
      </c>
      <c r="K44" s="1643" t="str">
        <f>IF((LEN(E44)-LEN(SUBSTITUTE(E44,".","")))/LEN(".")=1,"p","")</f>
        <v>p</v>
      </c>
      <c r="AF44" s="1638">
        <v>11</v>
      </c>
    </row>
    <row customHeight="1" ht="11.549999999999999">
      <c r="D45" s="1645"/>
      <c r="E45" s="553" t="str">
        <f>FHD_NUM_P_9</f>
        <v>2.2.1</v>
      </c>
      <c r="F45" s="1657" t="str">
        <f>FHD_P_9</f>
        <v>Средневзвешенная стоимость 1 кВт.ч (с учетом мощности)</v>
      </c>
      <c r="G45" s="1882" t="s">
        <v>570</v>
      </c>
      <c r="H45" s="564"/>
      <c r="I45" s="564">
        <v>6.91</v>
      </c>
      <c r="J45" s="296" t="str">
        <f>FHD_NOTE_P_9</f>
        <v/>
      </c>
      <c r="K45" s="1643" t="str">
        <f>IF((LEN(E45)-LEN(SUBSTITUTE(E45,".","")))/LEN(".")=1,"p","")</f>
        <v/>
      </c>
      <c r="AF45" s="1638">
        <v>11</v>
      </c>
    </row>
    <row s="1373" customFormat="1" customHeight="1" ht="11.549999999999999">
      <c r="A46" s="994"/>
      <c r="C46" s="1643"/>
      <c r="D46" s="581"/>
      <c r="E46" s="553" t="str">
        <f>FHD_NUM_P_10</f>
        <v>2.2.2</v>
      </c>
      <c r="F46" s="1657" t="str">
        <f>FHD_P_10</f>
        <v>Объём приобретения электрической энергии</v>
      </c>
      <c r="G46" s="1882" t="s">
        <v>571</v>
      </c>
      <c r="H46" s="564"/>
      <c r="I46" s="564">
        <v>176.96</v>
      </c>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hidden="1">
      <c r="A47" s="996" t="s">
        <v>572</v>
      </c>
      <c r="C47" s="1643"/>
      <c r="D47" s="582"/>
      <c r="E47" s="553" t="str">
        <f>FHD_NUM_P_11</f>
        <v/>
      </c>
      <c r="F47" s="1531" t="str">
        <f>FHD_P_11</f>
        <v/>
      </c>
      <c r="G47" s="1882" t="s">
        <v>551</v>
      </c>
      <c r="H47" s="564"/>
      <c r="I47" s="564"/>
      <c r="J47" s="296" t="str">
        <f>FHD_NOTE_P_11</f>
        <v/>
      </c>
      <c r="K47" s="1643" t="str">
        <f>IF((LEN(E47)-LEN(SUBSTITUTE(E47,".","")))/LEN(".")=1,"p","")</f>
        <v/>
      </c>
      <c r="L47" s="1643"/>
      <c r="M47" s="1643"/>
      <c r="R47" s="1643"/>
      <c r="U47" s="551"/>
      <c r="AA47" s="1639"/>
      <c r="AB47" s="1639"/>
      <c r="AC47" s="1639"/>
      <c r="AD47" s="1639"/>
      <c r="AE47" s="1639"/>
      <c r="AF47" s="1167">
        <v>0</v>
      </c>
    </row>
    <row s="1373" customFormat="1" customHeight="1" ht="18.75">
      <c r="A48" s="996" t="s">
        <v>573</v>
      </c>
      <c r="C48" s="1643"/>
      <c r="D48" s="1645"/>
      <c r="E48" s="553" t="str">
        <f>FHD_NUM_P_12</f>
        <v>2.3</v>
      </c>
      <c r="F48" s="1531" t="str">
        <f>FHD_P_12</f>
        <v>Расходы на химические реагенты, используемые в технологическом процессе</v>
      </c>
      <c r="G48" s="1882" t="s">
        <v>551</v>
      </c>
      <c r="H48" s="584"/>
      <c r="I48" s="584">
        <v>0</v>
      </c>
      <c r="J48" s="296" t="str">
        <f>FHD_NOTE_P_12</f>
        <v/>
      </c>
      <c r="K48" s="1643" t="str">
        <f>IF((LEN(E48)-LEN(SUBSTITUTE(E48,".","")))/LEN(".")=1,"p","")</f>
        <v>p</v>
      </c>
      <c r="L48" s="1643"/>
      <c r="M48" s="1643"/>
      <c r="R48" s="1643"/>
      <c r="U48" s="551"/>
      <c r="AA48" s="1639"/>
      <c r="AB48" s="1639"/>
      <c r="AC48" s="1639"/>
      <c r="AD48" s="1639"/>
      <c r="AE48" s="1639"/>
      <c r="AF48" s="1167">
        <v>18</v>
      </c>
    </row>
    <row s="1372" customFormat="1" customHeight="1" ht="11.549999999999999">
      <c r="A49" s="995"/>
      <c r="C49" s="737"/>
      <c r="D49" s="680"/>
      <c r="E49" s="553" t="str">
        <f>FHD_NUM_P_13</f>
        <v>2.4</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551</v>
      </c>
      <c r="H49" s="564"/>
      <c r="I49" s="564">
        <v>8619.94</v>
      </c>
      <c r="J49" s="296" t="str">
        <f>FHD_NOTE_P_13</f>
        <v>Указывается общая сумма расходов на оплату труда и отчислений на социальные нужды основного производственного персонала.</v>
      </c>
      <c r="K49" s="1643" t="str">
        <f>IF((LEN(E49)-LEN(SUBSTITUTE(E49,".","")))/LEN(".")=1,"p","")</f>
        <v>p</v>
      </c>
      <c r="L49" s="737"/>
      <c r="M49" s="737"/>
      <c r="R49" s="737"/>
      <c r="U49" s="738"/>
      <c r="AA49" s="739"/>
      <c r="AB49" s="739"/>
      <c r="AC49" s="739"/>
      <c r="AD49" s="739"/>
      <c r="AE49" s="739"/>
      <c r="AF49" s="736">
        <v>11</v>
      </c>
    </row>
    <row s="1372" customFormat="1" customHeight="1" ht="29.25">
      <c r="A50" s="995"/>
      <c r="C50" s="737"/>
      <c r="D50" s="680"/>
      <c r="E50" s="553" t="str">
        <f>FHD_NUM_P_14</f>
        <v>2.4.1</v>
      </c>
      <c r="F50" s="1657" t="str">
        <f>FHD_P_14</f>
        <v>Расходы на оплату труда основного производственного персонала</v>
      </c>
      <c r="G50" s="1882" t="s">
        <v>551</v>
      </c>
      <c r="H50" s="564"/>
      <c r="I50" s="564">
        <v>6622.43</v>
      </c>
      <c r="J50" s="296" t="str">
        <f>FHD_NOTE_P_14</f>
        <v/>
      </c>
      <c r="K50" s="1643" t="str">
        <f>IF((LEN(E50)-LEN(SUBSTITUTE(E50,".","")))/LEN(".")=1,"p","")</f>
        <v/>
      </c>
      <c r="L50" s="737"/>
      <c r="M50" s="737"/>
      <c r="R50" s="737"/>
      <c r="U50" s="738"/>
      <c r="AA50" s="739"/>
      <c r="AB50" s="739"/>
      <c r="AC50" s="739"/>
      <c r="AD50" s="739"/>
      <c r="AE50" s="739"/>
      <c r="AF50" s="736">
        <v>11</v>
      </c>
    </row>
    <row s="1372" customFormat="1" customHeight="1" ht="32.25">
      <c r="A51" s="995"/>
      <c r="C51" s="737"/>
      <c r="D51" s="680"/>
      <c r="E51" s="553" t="str">
        <f>FHD_NUM_P_15</f>
        <v>2.4.2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551</v>
      </c>
      <c r="H51" s="564"/>
      <c r="I51" s="564">
        <v>1997.52</v>
      </c>
      <c r="J51" s="296" t="str">
        <f>FHD_NOTE_P_15</f>
        <v/>
      </c>
      <c r="K51" s="1643" t="str">
        <f>IF((LEN(E51)-LEN(SUBSTITUTE(E51,".","")))/LEN(".")=1,"p","")</f>
        <v/>
      </c>
      <c r="L51" s="737"/>
      <c r="M51" s="737"/>
      <c r="R51" s="737"/>
      <c r="U51" s="738"/>
      <c r="AA51" s="739"/>
      <c r="AB51" s="739"/>
      <c r="AC51" s="739"/>
      <c r="AD51" s="739"/>
      <c r="AE51" s="739"/>
      <c r="AF51" s="736">
        <v>11</v>
      </c>
    </row>
    <row s="1373" customFormat="1" customHeight="1" ht="27.75">
      <c r="A52" s="994"/>
      <c r="C52" s="1643"/>
      <c r="D52" s="1645"/>
      <c r="E52" s="553" t="str">
        <f>FHD_NUM_P_16</f>
        <v>2.5</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551</v>
      </c>
      <c r="H52" s="564"/>
      <c r="I52" s="564">
        <v>5749.84</v>
      </c>
      <c r="J52" s="296" t="str">
        <f>FHD_NOTE_P_16</f>
        <v>Указывается общая сумма расходов на оплату труда и отчислений на социальные нужды административно-управленческого персонала.</v>
      </c>
      <c r="K52" s="1643" t="str">
        <f>IF((LEN(E52)-LEN(SUBSTITUTE(E52,".","")))/LEN(".")=1,"p","")</f>
        <v>p</v>
      </c>
      <c r="L52" s="1643"/>
      <c r="M52" s="1649"/>
      <c r="N52" s="544"/>
      <c r="O52" s="544"/>
      <c r="R52" s="1643"/>
      <c r="U52" s="551"/>
      <c r="AA52" s="1639"/>
      <c r="AB52" s="1639"/>
      <c r="AC52" s="1639"/>
      <c r="AD52" s="1639"/>
      <c r="AE52" s="1639"/>
      <c r="AF52" s="1167">
        <v>11</v>
      </c>
    </row>
    <row s="1373" customFormat="1" customHeight="1" ht="28.5">
      <c r="A53" s="994"/>
      <c r="C53" s="1643"/>
      <c r="D53" s="1645"/>
      <c r="E53" s="553" t="str">
        <f>FHD_NUM_P_17</f>
        <v>2.5.1</v>
      </c>
      <c r="F53" s="1657" t="str">
        <f>FHD_P_17</f>
        <v>Расходы на оплату труда административно-управленческого персонала</v>
      </c>
      <c r="G53" s="1882" t="s">
        <v>551</v>
      </c>
      <c r="H53" s="564"/>
      <c r="I53" s="564">
        <v>4432.64</v>
      </c>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11.549999999999999">
      <c r="A54" s="994"/>
      <c r="C54" s="1643"/>
      <c r="D54" s="1645"/>
      <c r="E54" s="553" t="str">
        <f>FHD_NUM_P_18</f>
        <v>2.5.2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551</v>
      </c>
      <c r="H54" s="564"/>
      <c r="I54" s="564">
        <v>1317.2</v>
      </c>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1.549999999999999">
      <c r="A55" s="994"/>
      <c r="C55" s="1643"/>
      <c r="D55" s="582"/>
      <c r="E55" s="553" t="str">
        <f>FHD_NUM_P_19</f>
        <v>2.6</v>
      </c>
      <c r="F55" s="1531" t="str">
        <f>FHD_P_19</f>
        <v>Расходы на амортизацию основных средств и нематериальных активов</v>
      </c>
      <c r="G55" s="1882" t="s">
        <v>551</v>
      </c>
      <c r="H55" s="564"/>
      <c r="I55" s="564">
        <v>1027.36</v>
      </c>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2.6.1</v>
      </c>
      <c r="F56" s="1657" t="str">
        <f>FHD_P_20</f>
        <v>Расходы на амортизацию основных средств</v>
      </c>
      <c r="G56" s="1882" t="s">
        <v>551</v>
      </c>
      <c r="H56" s="564"/>
      <c r="I56" s="564">
        <v>1027.36</v>
      </c>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2.6.2</v>
      </c>
      <c r="F57" s="1657" t="str">
        <f>FHD_P_21</f>
        <v>Расходы на амортизацию нематериальных активов</v>
      </c>
      <c r="G57" s="1882" t="s">
        <v>551</v>
      </c>
      <c r="H57" s="564"/>
      <c r="I57" s="564">
        <v>0</v>
      </c>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549999999999999">
      <c r="A58" s="994"/>
      <c r="C58" s="1643"/>
      <c r="D58" s="1645"/>
      <c r="E58" s="553" t="str">
        <f>FHD_NUM_P_22</f>
        <v>2.7</v>
      </c>
      <c r="F58" s="1531" t="str">
        <f>FHD_P_22</f>
        <v>Расходы на аренду имущества, используемого для осуществления регулируемых видов деятельности в сфере холодного водоснабжения</v>
      </c>
      <c r="G58" s="1882" t="s">
        <v>551</v>
      </c>
      <c r="H58" s="564"/>
      <c r="I58" s="564">
        <v>0</v>
      </c>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2.8</v>
      </c>
      <c r="F59" s="1531" t="str">
        <f>FHD_P_23</f>
        <v>Общепроизводственные расходы, в том числе:</v>
      </c>
      <c r="G59" s="1882" t="s">
        <v>551</v>
      </c>
      <c r="H59" s="564"/>
      <c r="I59" s="564">
        <f>4895.45-1796.54</f>
        <v>3098.91</v>
      </c>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2.8.1</v>
      </c>
      <c r="F60" s="1657" t="str">
        <f>FHD_P_24</f>
        <v>Расходы на текущий ремонт</v>
      </c>
      <c r="G60" s="1882" t="s">
        <v>551</v>
      </c>
      <c r="H60" s="564"/>
      <c r="I60" s="564">
        <v>63.5</v>
      </c>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2.8.2</v>
      </c>
      <c r="F61" s="1657" t="str">
        <f>FHD_P_25</f>
        <v>Расходы на капитальный ремонт</v>
      </c>
      <c r="G61" s="1882" t="s">
        <v>551</v>
      </c>
      <c r="H61" s="564"/>
      <c r="I61" s="564">
        <v>0</v>
      </c>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2.9</v>
      </c>
      <c r="F62" s="1531" t="str">
        <f>FHD_P_26</f>
        <v>Общехозяйственные расходы, в том числе:</v>
      </c>
      <c r="G62" s="1882" t="s">
        <v>551</v>
      </c>
      <c r="H62" s="564"/>
      <c r="I62" s="564">
        <v>696.72</v>
      </c>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2.9.1</v>
      </c>
      <c r="F63" s="1657" t="str">
        <f>FHD_P_27</f>
        <v>Расходы на текущий ремонт</v>
      </c>
      <c r="G63" s="1882" t="s">
        <v>551</v>
      </c>
      <c r="H63" s="564"/>
      <c r="I63" s="564">
        <v>15.77</v>
      </c>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2.9.2</v>
      </c>
      <c r="F64" s="1657" t="str">
        <f>FHD_P_28</f>
        <v>Расходы на капитальный ремонт</v>
      </c>
      <c r="G64" s="1882" t="s">
        <v>551</v>
      </c>
      <c r="H64" s="564"/>
      <c r="I64" s="564">
        <v>0</v>
      </c>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30">
      <c r="A65" s="994"/>
      <c r="C65" s="1643"/>
      <c r="D65" s="1645"/>
      <c r="E65" s="553" t="str">
        <f>FHD_NUM_P_29</f>
        <v>2.10</v>
      </c>
      <c r="F65" s="1531" t="str">
        <f>FHD_P_29</f>
        <v>Расходы на капитальный и текущий ремонт основных средств</v>
      </c>
      <c r="G65" s="1882" t="s">
        <v>551</v>
      </c>
      <c r="H65" s="564"/>
      <c r="I65" s="564">
        <v>519.46</v>
      </c>
      <c r="J65" s="29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30">
      <c r="A66" s="994"/>
      <c r="C66" s="1643"/>
      <c r="D66" s="1645"/>
      <c r="E66" s="553" t="str">
        <f>FHD_NUM_P_30</f>
        <v>2.10.1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305</v>
      </c>
      <c r="H66" s="1656" t="s">
        <v>574</v>
      </c>
      <c r="I66" s="1656" t="s">
        <v>574</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c r="A67" s="2391" t="s">
        <v>575</v>
      </c>
      <c r="C67" s="1643"/>
      <c r="D67" s="1645"/>
      <c r="E67" s="553" t="str">
        <f>FHD_NUM_P_31</f>
        <v>2.11</v>
      </c>
      <c r="F67" s="153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551</v>
      </c>
      <c r="H67" s="564"/>
      <c r="I67" s="564">
        <v>0</v>
      </c>
      <c r="J67" s="29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3" t="str">
        <f>IF((LEN(E67)-LEN(SUBSTITUTE(E67,".","")))/LEN(".")=1,"p","")</f>
        <v>p</v>
      </c>
      <c r="L67" s="1643"/>
      <c r="M67" s="1643"/>
      <c r="R67" s="1643"/>
      <c r="U67" s="551"/>
      <c r="AA67" s="1639"/>
      <c r="AB67" s="1639"/>
      <c r="AC67" s="1639"/>
      <c r="AD67" s="1639"/>
      <c r="AE67" s="1639"/>
      <c r="AF67" s="1167">
        <v>22</v>
      </c>
    </row>
    <row s="1373" customFormat="1" customHeight="1" ht="47.25">
      <c r="A68" s="2391"/>
      <c r="C68" s="1643"/>
      <c r="D68" s="1645"/>
      <c r="E68" s="553" t="str">
        <f>FHD_NUM_P_32</f>
        <v>2.11.1</v>
      </c>
      <c r="F68" s="165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305</v>
      </c>
      <c r="H68" s="1656" t="s">
        <v>574</v>
      </c>
      <c r="I68" s="1656" t="s">
        <v>574</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102.75">
      <c r="A69" s="994"/>
      <c r="C69" s="1643"/>
      <c r="D69" s="1645"/>
      <c r="E69" s="553" t="str">
        <f>FHD_NUM_P_33</f>
        <v>2.12</v>
      </c>
      <c r="F69" s="153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551</v>
      </c>
      <c r="H69" s="586">
        <f>SUM(H70:H88)</f>
        <v>0</v>
      </c>
      <c r="I69" s="586">
        <f>SUM(I70:I88)</f>
        <v>900.82</v>
      </c>
      <c r="J69" s="29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2.12.0</v>
      </c>
      <c r="F70" s="998"/>
      <c r="G70" s="1020"/>
      <c r="H70" s="999"/>
      <c r="I70" s="999"/>
      <c r="J70" s="1000"/>
      <c r="K70" s="1643" t="str">
        <f>IF((LEN(E70)-LEN(SUBSTITUTE(E70,".","")))/LEN(".")=1,"p","")</f>
        <v/>
      </c>
      <c r="AF70" s="1643">
        <v>1</v>
      </c>
    </row>
    <row s="1639" customFormat="1" customHeight="1" ht="22.5">
      <c r="A71" s="994"/>
      <c r="B71" s="1373"/>
      <c r="C71" s="1649"/>
      <c r="D71" s="690" t="s">
        <v>576</v>
      </c>
      <c r="E71" s="2386" t="str">
        <f>E69&amp;".1"</f>
        <v>2.12.1</v>
      </c>
      <c r="F71" s="547" t="s">
        <v>577</v>
      </c>
      <c r="G71" s="2386" t="s">
        <v>551</v>
      </c>
      <c r="H71" s="758"/>
      <c r="I71" s="758">
        <v>13.5</v>
      </c>
      <c r="J71" s="549" t="s">
        <v>554</v>
      </c>
      <c r="K71" s="741"/>
      <c r="L71" s="1649"/>
      <c r="M71" s="1649"/>
      <c r="N71" s="1373"/>
      <c r="O71" s="1373"/>
      <c r="P71" s="1373"/>
      <c r="Q71" s="1373"/>
      <c r="R71" s="1649"/>
      <c r="S71" s="1373"/>
      <c r="T71" s="1373"/>
      <c r="U71" s="743"/>
      <c r="V71" s="1373"/>
      <c r="W71" s="1373"/>
      <c r="X71" s="1373"/>
      <c r="Y71" s="1373"/>
      <c r="Z71" s="1373"/>
      <c r="AA71" s="1639"/>
      <c r="AB71" s="1639"/>
      <c r="AC71" s="1639"/>
      <c r="AD71" s="1639"/>
      <c r="AE71" s="1639"/>
      <c r="AF71" s="1373">
        <v>0</v>
      </c>
    </row>
    <row s="1639" customFormat="1" customHeight="1" ht="22.5">
      <c r="A72" s="994"/>
      <c r="B72" s="1373"/>
      <c r="C72" s="1649"/>
      <c r="D72" s="690" t="s">
        <v>576</v>
      </c>
      <c r="E72" s="2386" t="str">
        <f>E69&amp;".2"</f>
        <v>2.12.2</v>
      </c>
      <c r="F72" s="547" t="s">
        <v>578</v>
      </c>
      <c r="G72" s="2386" t="s">
        <v>551</v>
      </c>
      <c r="H72" s="758"/>
      <c r="I72" s="758">
        <v>3.85</v>
      </c>
      <c r="J72" s="549" t="s">
        <v>554</v>
      </c>
      <c r="K72" s="741"/>
      <c r="L72" s="1649"/>
      <c r="M72" s="1649"/>
      <c r="N72" s="1373"/>
      <c r="O72" s="1373"/>
      <c r="P72" s="1373"/>
      <c r="Q72" s="1373"/>
      <c r="R72" s="1649"/>
      <c r="S72" s="1373"/>
      <c r="T72" s="1373"/>
      <c r="U72" s="743"/>
      <c r="V72" s="1373"/>
      <c r="W72" s="1373"/>
      <c r="X72" s="1373"/>
      <c r="Y72" s="1373"/>
      <c r="Z72" s="1373"/>
      <c r="AA72" s="1639"/>
      <c r="AB72" s="1639"/>
      <c r="AC72" s="1639"/>
      <c r="AD72" s="1639"/>
      <c r="AE72" s="1639"/>
      <c r="AF72" s="1373">
        <v>0</v>
      </c>
    </row>
    <row s="1639" customFormat="1" customHeight="1" ht="22.5">
      <c r="A73" s="994"/>
      <c r="B73" s="1373"/>
      <c r="C73" s="1649"/>
      <c r="D73" s="690" t="s">
        <v>576</v>
      </c>
      <c r="E73" s="2386" t="str">
        <f>E69&amp;".3"</f>
        <v>2.12.3</v>
      </c>
      <c r="F73" s="547" t="s">
        <v>579</v>
      </c>
      <c r="G73" s="2386" t="s">
        <v>551</v>
      </c>
      <c r="H73" s="758"/>
      <c r="I73" s="758">
        <v>19.6</v>
      </c>
      <c r="J73" s="549" t="s">
        <v>554</v>
      </c>
      <c r="K73" s="741"/>
      <c r="L73" s="1649"/>
      <c r="M73" s="1649"/>
      <c r="N73" s="1373"/>
      <c r="O73" s="1373"/>
      <c r="P73" s="1373"/>
      <c r="Q73" s="1373"/>
      <c r="R73" s="1649"/>
      <c r="S73" s="1373"/>
      <c r="T73" s="1373"/>
      <c r="U73" s="743"/>
      <c r="V73" s="1373"/>
      <c r="W73" s="1373"/>
      <c r="X73" s="1373"/>
      <c r="Y73" s="1373"/>
      <c r="Z73" s="1373"/>
      <c r="AA73" s="1639"/>
      <c r="AB73" s="1639"/>
      <c r="AC73" s="1639"/>
      <c r="AD73" s="1639"/>
      <c r="AE73" s="1639"/>
      <c r="AF73" s="1373">
        <v>0</v>
      </c>
    </row>
    <row s="1639" customFormat="1" customHeight="1" ht="22.5">
      <c r="A74" s="994"/>
      <c r="B74" s="1373"/>
      <c r="C74" s="1649"/>
      <c r="D74" s="690" t="s">
        <v>576</v>
      </c>
      <c r="E74" s="2386" t="str">
        <f>E69&amp;".4"</f>
        <v>2.12.4</v>
      </c>
      <c r="F74" s="547" t="s">
        <v>580</v>
      </c>
      <c r="G74" s="2386" t="s">
        <v>551</v>
      </c>
      <c r="H74" s="758"/>
      <c r="I74" s="758">
        <v>61.83</v>
      </c>
      <c r="J74" s="549" t="s">
        <v>554</v>
      </c>
      <c r="K74" s="741"/>
      <c r="L74" s="1649"/>
      <c r="M74" s="1649"/>
      <c r="N74" s="1373"/>
      <c r="O74" s="1373"/>
      <c r="P74" s="1373"/>
      <c r="Q74" s="1373"/>
      <c r="R74" s="1649"/>
      <c r="S74" s="1373"/>
      <c r="T74" s="1373"/>
      <c r="U74" s="743"/>
      <c r="V74" s="1373"/>
      <c r="W74" s="1373"/>
      <c r="X74" s="1373"/>
      <c r="Y74" s="1373"/>
      <c r="Z74" s="1373"/>
      <c r="AA74" s="1639"/>
      <c r="AB74" s="1639"/>
      <c r="AC74" s="1639"/>
      <c r="AD74" s="1639"/>
      <c r="AE74" s="1639"/>
      <c r="AF74" s="1373">
        <v>0</v>
      </c>
    </row>
    <row s="1639" customFormat="1" customHeight="1" ht="22.5">
      <c r="A75" s="994"/>
      <c r="B75" s="1373"/>
      <c r="C75" s="1649"/>
      <c r="D75" s="690" t="s">
        <v>576</v>
      </c>
      <c r="E75" s="2386" t="str">
        <f>E69&amp;".5"</f>
        <v>2.12.5</v>
      </c>
      <c r="F75" s="547" t="s">
        <v>581</v>
      </c>
      <c r="G75" s="2386" t="s">
        <v>551</v>
      </c>
      <c r="H75" s="758"/>
      <c r="I75" s="758">
        <v>217.68</v>
      </c>
      <c r="J75" s="549" t="s">
        <v>554</v>
      </c>
      <c r="K75" s="741"/>
      <c r="L75" s="1649"/>
      <c r="M75" s="1649"/>
      <c r="N75" s="1373"/>
      <c r="O75" s="1373"/>
      <c r="P75" s="1373"/>
      <c r="Q75" s="1373"/>
      <c r="R75" s="1649"/>
      <c r="S75" s="1373"/>
      <c r="T75" s="1373"/>
      <c r="U75" s="743"/>
      <c r="V75" s="1373"/>
      <c r="W75" s="1373"/>
      <c r="X75" s="1373"/>
      <c r="Y75" s="1373"/>
      <c r="Z75" s="1373"/>
      <c r="AA75" s="1639"/>
      <c r="AB75" s="1639"/>
      <c r="AC75" s="1639"/>
      <c r="AD75" s="1639"/>
      <c r="AE75" s="1639"/>
      <c r="AF75" s="1373">
        <v>0</v>
      </c>
    </row>
    <row s="1639" customFormat="1" customHeight="1" ht="22.5">
      <c r="A76" s="994"/>
      <c r="B76" s="1373"/>
      <c r="C76" s="1649"/>
      <c r="D76" s="690" t="s">
        <v>576</v>
      </c>
      <c r="E76" s="2386" t="str">
        <f>E69&amp;".6"</f>
        <v>2.12.6</v>
      </c>
      <c r="F76" s="547" t="s">
        <v>582</v>
      </c>
      <c r="G76" s="2386" t="s">
        <v>551</v>
      </c>
      <c r="H76" s="758"/>
      <c r="I76" s="758">
        <v>109.52</v>
      </c>
      <c r="J76" s="549" t="s">
        <v>554</v>
      </c>
      <c r="K76" s="741"/>
      <c r="L76" s="1649"/>
      <c r="M76" s="1649"/>
      <c r="N76" s="1373"/>
      <c r="O76" s="1373"/>
      <c r="P76" s="1373"/>
      <c r="Q76" s="1373"/>
      <c r="R76" s="1649"/>
      <c r="S76" s="1373"/>
      <c r="T76" s="1373"/>
      <c r="U76" s="743"/>
      <c r="V76" s="1373"/>
      <c r="W76" s="1373"/>
      <c r="X76" s="1373"/>
      <c r="Y76" s="1373"/>
      <c r="Z76" s="1373"/>
      <c r="AA76" s="1639"/>
      <c r="AB76" s="1639"/>
      <c r="AC76" s="1639"/>
      <c r="AD76" s="1639"/>
      <c r="AE76" s="1639"/>
      <c r="AF76" s="1373">
        <v>0</v>
      </c>
    </row>
    <row s="1639" customFormat="1" customHeight="1" ht="22.5">
      <c r="A77" s="994"/>
      <c r="B77" s="1373"/>
      <c r="C77" s="1649"/>
      <c r="D77" s="690" t="s">
        <v>576</v>
      </c>
      <c r="E77" s="2386" t="str">
        <f>E69&amp;".7"</f>
        <v>2.12.7</v>
      </c>
      <c r="F77" s="547" t="s">
        <v>583</v>
      </c>
      <c r="G77" s="2386" t="s">
        <v>551</v>
      </c>
      <c r="H77" s="758"/>
      <c r="I77" s="758">
        <v>172.33</v>
      </c>
      <c r="J77" s="549" t="s">
        <v>554</v>
      </c>
      <c r="K77" s="741"/>
      <c r="L77" s="1649"/>
      <c r="M77" s="1649"/>
      <c r="N77" s="1373"/>
      <c r="O77" s="1373"/>
      <c r="P77" s="1373"/>
      <c r="Q77" s="1373"/>
      <c r="R77" s="1649"/>
      <c r="S77" s="1373"/>
      <c r="T77" s="1373"/>
      <c r="U77" s="743"/>
      <c r="V77" s="1373"/>
      <c r="W77" s="1373"/>
      <c r="X77" s="1373"/>
      <c r="Y77" s="1373"/>
      <c r="Z77" s="1373"/>
      <c r="AA77" s="1639"/>
      <c r="AB77" s="1639"/>
      <c r="AC77" s="1639"/>
      <c r="AD77" s="1639"/>
      <c r="AE77" s="1639"/>
      <c r="AF77" s="1373">
        <v>0</v>
      </c>
    </row>
    <row s="1639" customFormat="1" customHeight="1" ht="22.5">
      <c r="A78" s="994"/>
      <c r="B78" s="1373"/>
      <c r="C78" s="1649"/>
      <c r="D78" s="690" t="s">
        <v>576</v>
      </c>
      <c r="E78" s="2386" t="s">
        <v>584</v>
      </c>
      <c r="F78" s="547" t="s">
        <v>585</v>
      </c>
      <c r="G78" s="2386" t="s">
        <v>551</v>
      </c>
      <c r="H78" s="758"/>
      <c r="I78" s="758">
        <v>10.27</v>
      </c>
      <c r="J78" s="549" t="s">
        <v>554</v>
      </c>
      <c r="K78" s="741"/>
      <c r="L78" s="1649"/>
      <c r="M78" s="1649"/>
      <c r="N78" s="1373"/>
      <c r="O78" s="1373"/>
      <c r="P78" s="1373"/>
      <c r="Q78" s="1373"/>
      <c r="R78" s="1649"/>
      <c r="S78" s="1373"/>
      <c r="T78" s="1373"/>
      <c r="U78" s="743"/>
      <c r="V78" s="1373"/>
      <c r="W78" s="1373"/>
      <c r="X78" s="1373"/>
      <c r="Y78" s="1373"/>
      <c r="Z78" s="1373"/>
      <c r="AA78" s="1639"/>
      <c r="AB78" s="1639"/>
      <c r="AC78" s="1639"/>
      <c r="AD78" s="1639"/>
      <c r="AE78" s="1639"/>
      <c r="AF78" s="1373">
        <v>0</v>
      </c>
    </row>
    <row s="1639" customFormat="1" customHeight="1" ht="22.5">
      <c r="A79" s="994"/>
      <c r="B79" s="1373"/>
      <c r="C79" s="1649"/>
      <c r="D79" s="690" t="s">
        <v>576</v>
      </c>
      <c r="E79" s="2386" t="s">
        <v>586</v>
      </c>
      <c r="F79" s="547" t="s">
        <v>587</v>
      </c>
      <c r="G79" s="2386" t="s">
        <v>551</v>
      </c>
      <c r="H79" s="758"/>
      <c r="I79" s="758">
        <v>12.77</v>
      </c>
      <c r="J79" s="549" t="s">
        <v>554</v>
      </c>
      <c r="K79" s="741"/>
      <c r="L79" s="1649"/>
      <c r="M79" s="1649"/>
      <c r="N79" s="1373"/>
      <c r="O79" s="1373"/>
      <c r="P79" s="1373"/>
      <c r="Q79" s="1373"/>
      <c r="R79" s="1649"/>
      <c r="S79" s="1373"/>
      <c r="T79" s="1373"/>
      <c r="U79" s="743"/>
      <c r="V79" s="1373"/>
      <c r="W79" s="1373"/>
      <c r="X79" s="1373"/>
      <c r="Y79" s="1373"/>
      <c r="Z79" s="1373"/>
      <c r="AA79" s="1639"/>
      <c r="AB79" s="1639"/>
      <c r="AC79" s="1639"/>
      <c r="AD79" s="1639"/>
      <c r="AE79" s="1639"/>
      <c r="AF79" s="1373">
        <v>0</v>
      </c>
    </row>
    <row s="1639" customFormat="1" customHeight="1" ht="22.5">
      <c r="A80" s="994"/>
      <c r="B80" s="1373"/>
      <c r="C80" s="1649"/>
      <c r="D80" s="690" t="s">
        <v>576</v>
      </c>
      <c r="E80" s="2386" t="s">
        <v>588</v>
      </c>
      <c r="F80" s="547" t="s">
        <v>589</v>
      </c>
      <c r="G80" s="2386" t="s">
        <v>551</v>
      </c>
      <c r="H80" s="758"/>
      <c r="I80" s="758">
        <v>2.91</v>
      </c>
      <c r="J80" s="549" t="s">
        <v>554</v>
      </c>
      <c r="K80" s="741"/>
      <c r="L80" s="1649"/>
      <c r="M80" s="1649"/>
      <c r="N80" s="1373"/>
      <c r="O80" s="1373"/>
      <c r="P80" s="1373"/>
      <c r="Q80" s="1373"/>
      <c r="R80" s="1649"/>
      <c r="S80" s="1373"/>
      <c r="T80" s="1373"/>
      <c r="U80" s="743"/>
      <c r="V80" s="1373"/>
      <c r="W80" s="1373"/>
      <c r="X80" s="1373"/>
      <c r="Y80" s="1373"/>
      <c r="Z80" s="1373"/>
      <c r="AA80" s="1639"/>
      <c r="AB80" s="1639"/>
      <c r="AC80" s="1639"/>
      <c r="AD80" s="1639"/>
      <c r="AE80" s="1639"/>
      <c r="AF80" s="1373">
        <v>0</v>
      </c>
    </row>
    <row s="1639" customFormat="1" customHeight="1" ht="22.5">
      <c r="A81" s="994"/>
      <c r="B81" s="1373"/>
      <c r="C81" s="1649"/>
      <c r="D81" s="690" t="s">
        <v>576</v>
      </c>
      <c r="E81" s="2386" t="s">
        <v>590</v>
      </c>
      <c r="F81" s="547" t="s">
        <v>591</v>
      </c>
      <c r="G81" s="2386" t="s">
        <v>551</v>
      </c>
      <c r="H81" s="758"/>
      <c r="I81" s="758">
        <v>98.65</v>
      </c>
      <c r="J81" s="549" t="s">
        <v>554</v>
      </c>
      <c r="K81" s="741"/>
      <c r="L81" s="1649"/>
      <c r="M81" s="1649"/>
      <c r="N81" s="1373"/>
      <c r="O81" s="1373"/>
      <c r="P81" s="1373"/>
      <c r="Q81" s="1373"/>
      <c r="R81" s="1649"/>
      <c r="S81" s="1373"/>
      <c r="T81" s="1373"/>
      <c r="U81" s="743"/>
      <c r="V81" s="1373"/>
      <c r="W81" s="1373"/>
      <c r="X81" s="1373"/>
      <c r="Y81" s="1373"/>
      <c r="Z81" s="1373"/>
      <c r="AA81" s="1639"/>
      <c r="AB81" s="1639"/>
      <c r="AC81" s="1639"/>
      <c r="AD81" s="1639"/>
      <c r="AE81" s="1639"/>
      <c r="AF81" s="1373">
        <v>0</v>
      </c>
    </row>
    <row s="1639" customFormat="1" customHeight="1" ht="22.5">
      <c r="A82" s="994"/>
      <c r="B82" s="1373"/>
      <c r="C82" s="1649"/>
      <c r="D82" s="690" t="s">
        <v>576</v>
      </c>
      <c r="E82" s="2386" t="s">
        <v>592</v>
      </c>
      <c r="F82" s="547" t="s">
        <v>593</v>
      </c>
      <c r="G82" s="2386" t="s">
        <v>551</v>
      </c>
      <c r="H82" s="758"/>
      <c r="I82" s="758">
        <v>0.81</v>
      </c>
      <c r="J82" s="549" t="s">
        <v>554</v>
      </c>
      <c r="K82" s="741"/>
      <c r="L82" s="1649"/>
      <c r="M82" s="1649"/>
      <c r="N82" s="1373"/>
      <c r="O82" s="1373"/>
      <c r="P82" s="1373"/>
      <c r="Q82" s="1373"/>
      <c r="R82" s="1649"/>
      <c r="S82" s="1373"/>
      <c r="T82" s="1373"/>
      <c r="U82" s="743"/>
      <c r="V82" s="1373"/>
      <c r="W82" s="1373"/>
      <c r="X82" s="1373"/>
      <c r="Y82" s="1373"/>
      <c r="Z82" s="1373"/>
      <c r="AA82" s="1639"/>
      <c r="AB82" s="1639"/>
      <c r="AC82" s="1639"/>
      <c r="AD82" s="1639"/>
      <c r="AE82" s="1639"/>
      <c r="AF82" s="1373">
        <v>0</v>
      </c>
    </row>
    <row s="1639" customFormat="1" customHeight="1" ht="22.5">
      <c r="A83" s="994"/>
      <c r="B83" s="1373"/>
      <c r="C83" s="1649"/>
      <c r="D83" s="690" t="s">
        <v>576</v>
      </c>
      <c r="E83" s="2386" t="s">
        <v>594</v>
      </c>
      <c r="F83" s="547" t="s">
        <v>595</v>
      </c>
      <c r="G83" s="2386" t="s">
        <v>551</v>
      </c>
      <c r="H83" s="758"/>
      <c r="I83" s="758">
        <v>82.79</v>
      </c>
      <c r="J83" s="549" t="s">
        <v>554</v>
      </c>
      <c r="K83" s="741"/>
      <c r="L83" s="1649"/>
      <c r="M83" s="1649"/>
      <c r="N83" s="1373"/>
      <c r="O83" s="1373"/>
      <c r="P83" s="1373"/>
      <c r="Q83" s="1373"/>
      <c r="R83" s="1649"/>
      <c r="S83" s="1373"/>
      <c r="T83" s="1373"/>
      <c r="U83" s="743"/>
      <c r="V83" s="1373"/>
      <c r="W83" s="1373"/>
      <c r="X83" s="1373"/>
      <c r="Y83" s="1373"/>
      <c r="Z83" s="1373"/>
      <c r="AA83" s="1639"/>
      <c r="AB83" s="1639"/>
      <c r="AC83" s="1639"/>
      <c r="AD83" s="1639"/>
      <c r="AE83" s="1639"/>
      <c r="AF83" s="1373">
        <v>0</v>
      </c>
    </row>
    <row s="1639" customFormat="1" customHeight="1" ht="22.5">
      <c r="A84" s="994"/>
      <c r="B84" s="1373"/>
      <c r="C84" s="1649"/>
      <c r="D84" s="690" t="s">
        <v>576</v>
      </c>
      <c r="E84" s="2386" t="s">
        <v>596</v>
      </c>
      <c r="F84" s="547" t="s">
        <v>597</v>
      </c>
      <c r="G84" s="2386" t="s">
        <v>551</v>
      </c>
      <c r="H84" s="758"/>
      <c r="I84" s="758">
        <v>31.31</v>
      </c>
      <c r="J84" s="549" t="s">
        <v>554</v>
      </c>
      <c r="K84" s="741"/>
      <c r="L84" s="1649"/>
      <c r="M84" s="1649"/>
      <c r="N84" s="1373"/>
      <c r="O84" s="1373"/>
      <c r="P84" s="1373"/>
      <c r="Q84" s="1373"/>
      <c r="R84" s="1649"/>
      <c r="S84" s="1373"/>
      <c r="T84" s="1373"/>
      <c r="U84" s="743"/>
      <c r="V84" s="1373"/>
      <c r="W84" s="1373"/>
      <c r="X84" s="1373"/>
      <c r="Y84" s="1373"/>
      <c r="Z84" s="1373"/>
      <c r="AA84" s="1639"/>
      <c r="AB84" s="1639"/>
      <c r="AC84" s="1639"/>
      <c r="AD84" s="1639"/>
      <c r="AE84" s="1639"/>
      <c r="AF84" s="1373">
        <v>0</v>
      </c>
    </row>
    <row s="1639" customFormat="1" customHeight="1" ht="22.5">
      <c r="A85" s="994"/>
      <c r="B85" s="1373"/>
      <c r="C85" s="1649"/>
      <c r="D85" s="690" t="s">
        <v>576</v>
      </c>
      <c r="E85" s="2386" t="s">
        <v>598</v>
      </c>
      <c r="F85" s="547" t="s">
        <v>599</v>
      </c>
      <c r="G85" s="2386" t="s">
        <v>551</v>
      </c>
      <c r="H85" s="758"/>
      <c r="I85" s="758">
        <v>17.64</v>
      </c>
      <c r="J85" s="549" t="s">
        <v>554</v>
      </c>
      <c r="K85" s="741"/>
      <c r="L85" s="1649"/>
      <c r="M85" s="1649"/>
      <c r="N85" s="1373"/>
      <c r="O85" s="1373"/>
      <c r="P85" s="1373"/>
      <c r="Q85" s="1373"/>
      <c r="R85" s="1649"/>
      <c r="S85" s="1373"/>
      <c r="T85" s="1373"/>
      <c r="U85" s="743"/>
      <c r="V85" s="1373"/>
      <c r="W85" s="1373"/>
      <c r="X85" s="1373"/>
      <c r="Y85" s="1373"/>
      <c r="Z85" s="1373"/>
      <c r="AA85" s="1639"/>
      <c r="AB85" s="1639"/>
      <c r="AC85" s="1639"/>
      <c r="AD85" s="1639"/>
      <c r="AE85" s="1639"/>
      <c r="AF85" s="1373">
        <v>0</v>
      </c>
    </row>
    <row s="1639" customFormat="1" customHeight="1" ht="22.5">
      <c r="A86" s="994"/>
      <c r="B86" s="1373"/>
      <c r="C86" s="1649"/>
      <c r="D86" s="690" t="s">
        <v>576</v>
      </c>
      <c r="E86" s="2386" t="s">
        <v>600</v>
      </c>
      <c r="F86" s="547" t="s">
        <v>601</v>
      </c>
      <c r="G86" s="2386" t="s">
        <v>551</v>
      </c>
      <c r="H86" s="758"/>
      <c r="I86" s="758">
        <v>12.92</v>
      </c>
      <c r="J86" s="549" t="s">
        <v>554</v>
      </c>
      <c r="K86" s="741"/>
      <c r="L86" s="1649"/>
      <c r="M86" s="1649"/>
      <c r="N86" s="1373"/>
      <c r="O86" s="1373"/>
      <c r="P86" s="1373"/>
      <c r="Q86" s="1373"/>
      <c r="R86" s="1649"/>
      <c r="S86" s="1373"/>
      <c r="T86" s="1373"/>
      <c r="U86" s="743"/>
      <c r="V86" s="1373"/>
      <c r="W86" s="1373"/>
      <c r="X86" s="1373"/>
      <c r="Y86" s="1373"/>
      <c r="Z86" s="1373"/>
      <c r="AA86" s="1639"/>
      <c r="AB86" s="1639"/>
      <c r="AC86" s="1639"/>
      <c r="AD86" s="1639"/>
      <c r="AE86" s="1639"/>
      <c r="AF86" s="1373">
        <v>0</v>
      </c>
    </row>
    <row s="1639" customFormat="1" customHeight="1" ht="22.5">
      <c r="A87" s="994"/>
      <c r="B87" s="1373"/>
      <c r="C87" s="1649"/>
      <c r="D87" s="690" t="s">
        <v>576</v>
      </c>
      <c r="E87" s="2386" t="s">
        <v>602</v>
      </c>
      <c r="F87" s="547" t="s">
        <v>603</v>
      </c>
      <c r="G87" s="2386" t="s">
        <v>551</v>
      </c>
      <c r="H87" s="758"/>
      <c r="I87" s="758">
        <v>32.44</v>
      </c>
      <c r="J87" s="549" t="s">
        <v>554</v>
      </c>
      <c r="K87" s="741"/>
      <c r="L87" s="1649"/>
      <c r="M87" s="1649"/>
      <c r="N87" s="1373"/>
      <c r="O87" s="1373"/>
      <c r="P87" s="1373"/>
      <c r="Q87" s="1373"/>
      <c r="R87" s="1649"/>
      <c r="S87" s="1373"/>
      <c r="T87" s="1373"/>
      <c r="U87" s="743"/>
      <c r="V87" s="1373"/>
      <c r="W87" s="1373"/>
      <c r="X87" s="1373"/>
      <c r="Y87" s="1373"/>
      <c r="Z87" s="1373"/>
      <c r="AA87" s="1639"/>
      <c r="AB87" s="1639"/>
      <c r="AC87" s="1639"/>
      <c r="AD87" s="1639"/>
      <c r="AE87" s="1639"/>
      <c r="AF87" s="1373">
        <v>0</v>
      </c>
    </row>
    <row s="1373" customFormat="1" customHeight="1" ht="14.699999999999998">
      <c r="A88" s="994"/>
      <c r="C88" s="1643"/>
      <c r="D88" s="1640"/>
      <c r="E88" s="577"/>
      <c r="F88" s="578" t="s">
        <v>604</v>
      </c>
      <c r="G88" s="579"/>
      <c r="H88" s="580"/>
      <c r="I88" s="580"/>
      <c r="J88" s="308"/>
      <c r="K88" s="1643"/>
      <c r="L88" s="1643"/>
      <c r="M88" s="1643"/>
      <c r="R88" s="1643"/>
      <c r="U88" s="551"/>
      <c r="AA88" s="1639"/>
      <c r="AB88" s="1639"/>
      <c r="AC88" s="1639"/>
      <c r="AD88" s="1639"/>
      <c r="AE88" s="1639"/>
      <c r="AF88" s="1167">
        <v>14</v>
      </c>
    </row>
    <row s="1373" customFormat="1" customHeight="1" ht="18.75" hidden="1">
      <c r="A89" s="996" t="s">
        <v>605</v>
      </c>
      <c r="C89" s="1643"/>
      <c r="D89" s="1645"/>
      <c r="E89" s="553" t="str">
        <f>FHD_NUM_P_34</f>
        <v/>
      </c>
      <c r="F89" s="1884" t="str">
        <f>FHD_P_34</f>
        <v/>
      </c>
      <c r="G89" s="1882" t="s">
        <v>551</v>
      </c>
      <c r="H89" s="564"/>
      <c r="I89" s="564"/>
      <c r="J89" s="296" t="str">
        <f>FHD_NOTE_P_34</f>
        <v/>
      </c>
      <c r="K89" s="550"/>
      <c r="L89" s="1643"/>
      <c r="M89" s="1643"/>
      <c r="R89" s="1643"/>
      <c r="U89" s="551"/>
      <c r="AA89" s="1639"/>
      <c r="AB89" s="1639"/>
      <c r="AC89" s="1639"/>
      <c r="AD89" s="1639"/>
      <c r="AE89" s="1639"/>
      <c r="AF89" s="1167">
        <v>0</v>
      </c>
    </row>
    <row s="1373" customFormat="1" customHeight="1" ht="20.25">
      <c r="A90" s="994"/>
      <c r="C90" s="1643"/>
      <c r="D90" s="582"/>
      <c r="E90" s="553" t="str">
        <f>FHD_NUM_P_35</f>
        <v>3</v>
      </c>
      <c r="F90" s="1884" t="str">
        <f>FHD_P_35</f>
        <v>Чистая прибыль, полученная от регулируемого вида деятельности в сфере холодного водоснабжения, в том числе:</v>
      </c>
      <c r="G90" s="1882" t="s">
        <v>551</v>
      </c>
      <c r="H90" s="564"/>
      <c r="I90" s="564">
        <f>I30-I31</f>
        <v>-7196.75</v>
      </c>
      <c r="J90" s="296" t="str">
        <f>FHD_NOTE_P_35</f>
        <v>Указывается общая сумма чистой прибыли, полученной от регулируемого вида деятельности.</v>
      </c>
      <c r="K90" s="550"/>
      <c r="L90" s="1643"/>
      <c r="M90" s="1643"/>
      <c r="R90" s="1643"/>
      <c r="U90" s="551"/>
      <c r="AA90" s="1639"/>
      <c r="AB90" s="1639"/>
      <c r="AC90" s="1639"/>
      <c r="AD90" s="1639"/>
      <c r="AE90" s="1639"/>
      <c r="AF90" s="1167">
        <v>19</v>
      </c>
    </row>
    <row s="1373" customFormat="1" customHeight="1" ht="19.95">
      <c r="A91" s="994"/>
      <c r="C91" s="1643"/>
      <c r="D91" s="1645"/>
      <c r="E91" s="553" t="str">
        <f>FHD_NUM_P_36</f>
        <v>3.1</v>
      </c>
      <c r="F91"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91" s="1882" t="s">
        <v>551</v>
      </c>
      <c r="H91" s="564"/>
      <c r="I91" s="564">
        <v>0</v>
      </c>
      <c r="J91" s="296" t="str">
        <f>FHD_NOTE_P_36</f>
        <v/>
      </c>
      <c r="K91" s="550"/>
      <c r="L91" s="1643"/>
      <c r="M91" s="1643"/>
      <c r="R91" s="1643"/>
      <c r="U91" s="551"/>
      <c r="AA91" s="1639"/>
      <c r="AB91" s="1639"/>
      <c r="AC91" s="1639"/>
      <c r="AD91" s="1639"/>
      <c r="AE91" s="1639"/>
      <c r="AF91" s="1167">
        <v>19</v>
      </c>
    </row>
    <row s="1373" customFormat="1" customHeight="1" ht="20.25">
      <c r="A92" s="994"/>
      <c r="C92" s="1643"/>
      <c r="D92" s="1645"/>
      <c r="E92" s="553" t="str">
        <f>FHD_NUM_P_37</f>
        <v>4</v>
      </c>
      <c r="F92" s="1884" t="str">
        <f>FHD_P_37</f>
        <v>Изменение стоимости основных фондов, в том числе:</v>
      </c>
      <c r="G92" s="1882" t="s">
        <v>551</v>
      </c>
      <c r="H92" s="564"/>
      <c r="I92" s="564">
        <v>509.26</v>
      </c>
      <c r="J92" s="296" t="str">
        <f>FHD_NOTE_P_37</f>
        <v>Указывается общее изменение стоимости основных фондов.</v>
      </c>
      <c r="K92" s="550"/>
      <c r="L92" s="1643"/>
      <c r="M92" s="1643"/>
      <c r="R92" s="1643"/>
      <c r="U92" s="551"/>
      <c r="AA92" s="1639"/>
      <c r="AB92" s="1639"/>
      <c r="AC92" s="1639"/>
      <c r="AD92" s="1639"/>
      <c r="AE92" s="1639"/>
      <c r="AF92" s="1167">
        <v>19</v>
      </c>
    </row>
    <row s="1373" customFormat="1" customHeight="1" ht="20.25">
      <c r="A93" s="994"/>
      <c r="C93" s="1643"/>
      <c r="D93" s="1645"/>
      <c r="E93" s="553" t="str">
        <f>FHD_NUM_P_38</f>
        <v>4.1</v>
      </c>
      <c r="F93" s="1531" t="str">
        <f>FHD_P_38</f>
        <v>Изменение стоимости основных фондов за счет их ввода в эксплуатацию (вывода из эксплуатации)</v>
      </c>
      <c r="G93" s="1882" t="s">
        <v>551</v>
      </c>
      <c r="H93" s="564"/>
      <c r="I93" s="564">
        <v>509.26</v>
      </c>
      <c r="J93" s="296" t="str">
        <f>FHD_NOTE_P_38</f>
        <v>Указываются общее изменение стоимости основных фондов за счет их ввода в эксплуатацию и вывода из эксплуатации.</v>
      </c>
      <c r="K93" s="550"/>
      <c r="L93" s="1643"/>
      <c r="M93" s="1643"/>
      <c r="R93" s="1643"/>
      <c r="U93" s="551"/>
      <c r="AA93" s="1639"/>
      <c r="AB93" s="1639"/>
      <c r="AC93" s="1639"/>
      <c r="AD93" s="1639"/>
      <c r="AE93" s="1639"/>
      <c r="AF93" s="1167">
        <v>19</v>
      </c>
    </row>
    <row s="1373" customFormat="1" customHeight="1" ht="20.25">
      <c r="A94" s="994"/>
      <c r="C94" s="1643"/>
      <c r="D94" s="1645"/>
      <c r="E94" s="553" t="str">
        <f>FHD_NUM_P_39</f>
        <v>4.1.1</v>
      </c>
      <c r="F94" s="1657" t="str">
        <f>FHD_P_39</f>
        <v>Изменение стоимости основных фондов за счет их ввода в эксплуатацию</v>
      </c>
      <c r="G94" s="2076" t="s">
        <v>551</v>
      </c>
      <c r="H94" s="564"/>
      <c r="I94" s="564">
        <v>536.76</v>
      </c>
      <c r="J94" s="296" t="str">
        <f>FHD_NOTE_P_39</f>
        <v>Указываются изменение стоимости основных фондов за счет их ввода в эксплуатацию.</v>
      </c>
      <c r="K94" s="550"/>
      <c r="L94" s="1643"/>
      <c r="M94" s="1643"/>
      <c r="R94" s="1643"/>
      <c r="U94" s="551"/>
      <c r="AA94" s="1639"/>
      <c r="AB94" s="1639"/>
      <c r="AC94" s="1639"/>
      <c r="AD94" s="1639"/>
      <c r="AE94" s="1639"/>
      <c r="AF94" s="1167">
        <v>19</v>
      </c>
    </row>
    <row s="1373" customFormat="1" customHeight="1" ht="20.25">
      <c r="A95" s="994"/>
      <c r="C95" s="1643"/>
      <c r="D95" s="1645"/>
      <c r="E95" s="553" t="str">
        <f>FHD_NUM_P_40</f>
        <v>4.1.2</v>
      </c>
      <c r="F95" s="2080" t="str">
        <f>FHD_P_40</f>
        <v>Изменение стоимости основных фондов за счет их вывода в эксплуатацию</v>
      </c>
      <c r="G95" s="2075" t="s">
        <v>551</v>
      </c>
      <c r="H95" s="983"/>
      <c r="I95" s="564">
        <v>27.5</v>
      </c>
      <c r="J95" s="296" t="str">
        <f>FHD_NOTE_P_40</f>
        <v>Указываются изменение стоимости основных фондов за счет их вывода из эксплуатации.</v>
      </c>
      <c r="K95" s="550"/>
      <c r="L95" s="1643"/>
      <c r="M95" s="1643"/>
      <c r="R95" s="1643"/>
      <c r="U95" s="551"/>
      <c r="AA95" s="1639"/>
      <c r="AB95" s="1639"/>
      <c r="AC95" s="1639"/>
      <c r="AD95" s="1639"/>
      <c r="AE95" s="1639"/>
      <c r="AF95" s="1167">
        <v>19</v>
      </c>
    </row>
    <row s="1373" customFormat="1" customHeight="1" ht="19.95">
      <c r="A96" s="994"/>
      <c r="C96" s="1643"/>
      <c r="D96" s="1645"/>
      <c r="E96" s="553" t="str">
        <f>FHD_NUM_P_41</f>
        <v>4.2</v>
      </c>
      <c r="F96" s="2079" t="str">
        <f>FHD_P_41</f>
        <v>Изменение стоимости основных фондов за счет их переоценки</v>
      </c>
      <c r="G96" s="2075" t="s">
        <v>551</v>
      </c>
      <c r="H96" s="983"/>
      <c r="I96" s="564">
        <v>0</v>
      </c>
      <c r="J96" s="296" t="str">
        <f>FHD_NOTE_P_41</f>
        <v/>
      </c>
      <c r="K96" s="550"/>
      <c r="L96" s="1643"/>
      <c r="M96" s="1643"/>
      <c r="R96" s="1643"/>
      <c r="U96" s="551"/>
      <c r="AA96" s="1639"/>
      <c r="AB96" s="1639"/>
      <c r="AC96" s="1639"/>
      <c r="AD96" s="1639"/>
      <c r="AE96" s="1639"/>
      <c r="AF96" s="1167">
        <v>19</v>
      </c>
    </row>
    <row s="1373" customFormat="1" customHeight="1" ht="20.25">
      <c r="A97" s="996" t="s">
        <v>606</v>
      </c>
      <c r="C97" s="1643" t="s">
        <v>22</v>
      </c>
      <c r="D97" s="1645"/>
      <c r="E97" s="553" t="str">
        <f>FHD_NUM_P_42</f>
        <v>5</v>
      </c>
      <c r="F97" s="2077" t="str">
        <f>FHD_P_42</f>
        <v>Валовая прибыль (убытки) от продажи товаров и услуг по регулируемым видам деятельности в сфере холодного водоснабжения</v>
      </c>
      <c r="G97" s="2075" t="s">
        <v>551</v>
      </c>
      <c r="H97" s="983"/>
      <c r="I97" s="564">
        <v>-355.91</v>
      </c>
      <c r="J97" s="296" t="str">
        <f>FHD_NOTE_P_42</f>
        <v/>
      </c>
      <c r="K97" s="550"/>
      <c r="L97" s="1643"/>
      <c r="M97" s="1643"/>
      <c r="R97" s="1643"/>
      <c r="U97" s="551"/>
      <c r="AA97" s="1639"/>
      <c r="AB97" s="1639"/>
      <c r="AC97" s="1639"/>
      <c r="AD97" s="1639"/>
      <c r="AE97" s="1639"/>
      <c r="AF97" s="1167">
        <v>19</v>
      </c>
    </row>
    <row s="1373" customFormat="1" customHeight="1" ht="19.95">
      <c r="A98" s="994"/>
      <c r="C98" s="1643" t="s">
        <v>607</v>
      </c>
      <c r="D98" s="1645"/>
      <c r="E98" s="553" t="str">
        <f>FHD_NUM_P_43</f>
        <v>6</v>
      </c>
      <c r="F98" s="1884" t="str">
        <f>FHD_P_43</f>
        <v>Годовая бухгалтерская (финансовая) отчетность, включая бухгалтерский баланс и приложения к нему</v>
      </c>
      <c r="G98" s="2078" t="s">
        <v>305</v>
      </c>
      <c r="H98" s="1062"/>
      <c r="I98" s="825"/>
      <c r="J98" s="29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98" s="550"/>
      <c r="L98" s="1643"/>
      <c r="M98" s="1643"/>
      <c r="R98" s="1643"/>
      <c r="U98" s="551"/>
      <c r="AA98" s="1639"/>
      <c r="AB98" s="1639"/>
      <c r="AC98" s="1639"/>
      <c r="AD98" s="1639"/>
      <c r="AE98" s="1639"/>
      <c r="AF98" s="1167">
        <v>19</v>
      </c>
    </row>
    <row s="1373" customFormat="1" customHeight="1" ht="18.75">
      <c r="A99" s="2391" t="s">
        <v>608</v>
      </c>
      <c r="C99" s="742"/>
      <c r="D99" s="740"/>
      <c r="E99" s="553" t="str">
        <f>FHD_NUM_P_44</f>
        <v>7</v>
      </c>
      <c r="F99" s="1884" t="str">
        <f>FHD_P_44</f>
        <v>Объём поднятой воды</v>
      </c>
      <c r="G99" s="1885" t="s">
        <v>609</v>
      </c>
      <c r="H99" s="984"/>
      <c r="I99" s="584">
        <v>364.408</v>
      </c>
      <c r="J99" s="296" t="str">
        <f>FHD_NOTE_P_44</f>
        <v/>
      </c>
      <c r="K99" s="741"/>
      <c r="L99" s="742"/>
      <c r="M99" s="742"/>
      <c r="R99" s="742"/>
      <c r="U99" s="743"/>
      <c r="AA99" s="744"/>
      <c r="AB99" s="744"/>
      <c r="AC99" s="744"/>
      <c r="AD99" s="744"/>
      <c r="AE99" s="744"/>
      <c r="AF99" s="917">
        <v>0</v>
      </c>
    </row>
    <row s="1373" customFormat="1" customHeight="1" ht="18.75">
      <c r="A100" s="2391"/>
      <c r="C100" s="742"/>
      <c r="D100" s="740"/>
      <c r="E100" s="553" t="str">
        <f>FHD_NUM_P_45</f>
        <v>8</v>
      </c>
      <c r="F100" s="1884" t="str">
        <f>FHD_P_45</f>
        <v>Объём покупной воды</v>
      </c>
      <c r="G100" s="1885" t="s">
        <v>609</v>
      </c>
      <c r="H100" s="984"/>
      <c r="I100" s="584">
        <v>0</v>
      </c>
      <c r="J100" s="296" t="str">
        <f>FHD_NOTE_P_45</f>
        <v/>
      </c>
      <c r="K100" s="741"/>
      <c r="L100" s="742"/>
      <c r="M100" s="742"/>
      <c r="R100" s="742"/>
      <c r="U100" s="743"/>
      <c r="AA100" s="744"/>
      <c r="AB100" s="744"/>
      <c r="AC100" s="744"/>
      <c r="AD100" s="744"/>
      <c r="AE100" s="744"/>
      <c r="AF100" s="917">
        <v>0</v>
      </c>
    </row>
    <row s="1373" customFormat="1" customHeight="1" ht="18.75">
      <c r="A101" s="2391"/>
      <c r="C101" s="742"/>
      <c r="D101" s="745"/>
      <c r="E101" s="553" t="str">
        <f>FHD_NUM_P_46</f>
        <v>9</v>
      </c>
      <c r="F101" s="1884" t="str">
        <f>FHD_P_46</f>
        <v>Объём воды, пропущенной через очистные сооружения</v>
      </c>
      <c r="G101" s="1885" t="s">
        <v>609</v>
      </c>
      <c r="H101" s="984"/>
      <c r="I101" s="584">
        <v>0</v>
      </c>
      <c r="J101" s="296" t="str">
        <f>FHD_NOTE_P_46</f>
        <v/>
      </c>
      <c r="K101" s="741"/>
      <c r="L101" s="742"/>
      <c r="M101" s="742"/>
      <c r="R101" s="742"/>
      <c r="U101" s="743"/>
      <c r="AA101" s="744"/>
      <c r="AB101" s="744"/>
      <c r="AC101" s="744"/>
      <c r="AD101" s="744"/>
      <c r="AE101" s="744"/>
      <c r="AF101" s="917">
        <v>0</v>
      </c>
    </row>
    <row s="1373" customFormat="1" customHeight="1" ht="18.75">
      <c r="A102" s="2391"/>
      <c r="C102" s="742"/>
      <c r="D102" s="740"/>
      <c r="E102" s="553" t="str">
        <f>FHD_NUM_P_47</f>
        <v>10</v>
      </c>
      <c r="F102" s="1884" t="str">
        <f>FHD_P_47</f>
        <v>Объём отпущенной потребителям воды, в том числе:</v>
      </c>
      <c r="G102" s="1885" t="s">
        <v>609</v>
      </c>
      <c r="H102" s="984"/>
      <c r="I102" s="584">
        <v>250.8655</v>
      </c>
      <c r="J102" s="296" t="str">
        <f>FHD_NOTE_P_47</f>
        <v>Указывается общий объем отпущенной потребителям воды.</v>
      </c>
      <c r="K102" s="741"/>
      <c r="L102" s="742"/>
      <c r="M102" s="742"/>
      <c r="R102" s="742"/>
      <c r="U102" s="743"/>
      <c r="AA102" s="744"/>
      <c r="AB102" s="744"/>
      <c r="AC102" s="744"/>
      <c r="AD102" s="744"/>
      <c r="AE102" s="744"/>
      <c r="AF102" s="917">
        <v>0</v>
      </c>
    </row>
    <row s="1642" customFormat="1" customHeight="1" ht="18.75">
      <c r="A103" s="2391"/>
      <c r="B103" s="917"/>
      <c r="C103" s="742"/>
      <c r="D103" s="740"/>
      <c r="E103" s="553" t="str">
        <f>FHD_NUM_P_48</f>
        <v>10.1</v>
      </c>
      <c r="F103" s="1884" t="str">
        <f>FHD_P_48</f>
        <v>Объём отпущенной потребителям воды, определенный по приборам учета</v>
      </c>
      <c r="G103" s="1885" t="s">
        <v>609</v>
      </c>
      <c r="H103" s="984"/>
      <c r="I103" s="584">
        <v>144.1255</v>
      </c>
      <c r="J103" s="296" t="str">
        <f>FHD_NOTE_P_48</f>
        <v/>
      </c>
      <c r="K103" s="741"/>
      <c r="L103" s="742"/>
      <c r="M103" s="742"/>
      <c r="N103" s="917"/>
      <c r="O103" s="917"/>
      <c r="P103" s="917"/>
      <c r="Q103" s="917"/>
      <c r="R103" s="742"/>
      <c r="S103" s="917"/>
      <c r="T103" s="917"/>
      <c r="U103" s="743"/>
      <c r="V103" s="917"/>
      <c r="W103" s="917"/>
      <c r="X103" s="917"/>
      <c r="Y103" s="917"/>
      <c r="Z103" s="917"/>
      <c r="AA103" s="744"/>
      <c r="AB103" s="744"/>
      <c r="AC103" s="744"/>
      <c r="AD103" s="744"/>
      <c r="AE103" s="744"/>
      <c r="AF103" s="746">
        <v>0</v>
      </c>
    </row>
    <row s="1642" customFormat="1" customHeight="1" ht="18.75">
      <c r="A104" s="2391"/>
      <c r="B104" s="917"/>
      <c r="C104" s="742"/>
      <c r="D104" s="740"/>
      <c r="E104" s="553" t="str">
        <f>FHD_NUM_P_49</f>
        <v>10.2</v>
      </c>
      <c r="F104" s="1884" t="str">
        <f>FHD_P_49</f>
        <v>Объём отпущенной потребителям воды, определенный расчетным способом</v>
      </c>
      <c r="G104" s="1885" t="s">
        <v>609</v>
      </c>
      <c r="H104" s="985">
        <f>SUM(H105:H106)</f>
        <v>0</v>
      </c>
      <c r="I104" s="756">
        <f>SUM(I105:I106)</f>
        <v>106.74</v>
      </c>
      <c r="J104" s="296" t="str">
        <f>FHD_NOTE_P_49</f>
        <v/>
      </c>
      <c r="K104" s="741"/>
      <c r="L104" s="742"/>
      <c r="M104" s="742"/>
      <c r="N104" s="917"/>
      <c r="O104" s="917"/>
      <c r="P104" s="917"/>
      <c r="Q104" s="917"/>
      <c r="R104" s="742"/>
      <c r="S104" s="917"/>
      <c r="T104" s="917"/>
      <c r="U104" s="743"/>
      <c r="V104" s="917"/>
      <c r="W104" s="917"/>
      <c r="X104" s="917"/>
      <c r="Y104" s="917"/>
      <c r="Z104" s="917"/>
      <c r="AA104" s="744"/>
      <c r="AB104" s="744"/>
      <c r="AC104" s="744"/>
      <c r="AD104" s="744"/>
      <c r="AE104" s="744"/>
      <c r="AF104" s="746">
        <v>0</v>
      </c>
    </row>
    <row s="1642" customFormat="1" customHeight="1" ht="18.75">
      <c r="A105" s="2391"/>
      <c r="B105" s="917"/>
      <c r="C105" s="742"/>
      <c r="D105" s="740"/>
      <c r="E105" s="553" t="str">
        <f>FHD_NUM_P_50</f>
        <v>10.2.1</v>
      </c>
      <c r="F105" s="1884" t="str">
        <f>FHD_P_50</f>
        <v>Объём отпущенной потребителям воды, определенный по нормативам потребления коммунальных услуг</v>
      </c>
      <c r="G105" s="1885" t="s">
        <v>609</v>
      </c>
      <c r="H105" s="984"/>
      <c r="I105" s="584">
        <v>0</v>
      </c>
      <c r="J105" s="296" t="str">
        <f>FHD_NOTE_P_50</f>
        <v/>
      </c>
      <c r="K105" s="741"/>
      <c r="L105" s="742"/>
      <c r="M105" s="742"/>
      <c r="N105" s="917"/>
      <c r="O105" s="917"/>
      <c r="P105" s="917"/>
      <c r="Q105" s="917"/>
      <c r="R105" s="742"/>
      <c r="S105" s="917"/>
      <c r="T105" s="917"/>
      <c r="U105" s="743"/>
      <c r="V105" s="917"/>
      <c r="W105" s="917"/>
      <c r="X105" s="917"/>
      <c r="Y105" s="917"/>
      <c r="Z105" s="917"/>
      <c r="AA105" s="744"/>
      <c r="AB105" s="744"/>
      <c r="AC105" s="744"/>
      <c r="AD105" s="744"/>
      <c r="AE105" s="744"/>
      <c r="AF105" s="746">
        <v>0</v>
      </c>
    </row>
    <row s="1642" customFormat="1" customHeight="1" ht="18.75">
      <c r="A106" s="2391"/>
      <c r="B106" s="917"/>
      <c r="C106" s="742"/>
      <c r="D106" s="740"/>
      <c r="E106" s="553" t="str">
        <f>FHD_NUM_P_51</f>
        <v>10.2.2</v>
      </c>
      <c r="F106" s="1884" t="str">
        <f>FHD_P_51</f>
        <v>Объём отпущенной потребителям воды, определенный по нормативам потребления коммунальных ресурсов </v>
      </c>
      <c r="G106" s="1885" t="s">
        <v>609</v>
      </c>
      <c r="H106" s="984"/>
      <c r="I106" s="584">
        <v>106.74</v>
      </c>
      <c r="J106" s="296" t="str">
        <f>FHD_NOTE_P_51</f>
        <v/>
      </c>
      <c r="K106" s="741"/>
      <c r="L106" s="742"/>
      <c r="M106" s="742"/>
      <c r="N106" s="917"/>
      <c r="O106" s="917"/>
      <c r="P106" s="917"/>
      <c r="Q106" s="917"/>
      <c r="R106" s="742"/>
      <c r="S106" s="917"/>
      <c r="T106" s="917"/>
      <c r="U106" s="743"/>
      <c r="V106" s="917"/>
      <c r="W106" s="917"/>
      <c r="X106" s="917"/>
      <c r="Y106" s="917"/>
      <c r="Z106" s="917"/>
      <c r="AA106" s="744"/>
      <c r="AB106" s="744"/>
      <c r="AC106" s="744"/>
      <c r="AD106" s="744"/>
      <c r="AE106" s="744"/>
      <c r="AF106" s="746">
        <v>0</v>
      </c>
    </row>
    <row s="1642" customFormat="1" customHeight="1" ht="18.75">
      <c r="A107" s="2391"/>
      <c r="B107" s="917"/>
      <c r="C107" s="742"/>
      <c r="D107" s="740"/>
      <c r="E107" s="553" t="str">
        <f>FHD_NUM_P_52</f>
        <v>11</v>
      </c>
      <c r="F107" s="1884" t="str">
        <f>FHD_P_52</f>
        <v>Потери воды в сетях</v>
      </c>
      <c r="G107" s="1885" t="s">
        <v>557</v>
      </c>
      <c r="H107" s="983"/>
      <c r="I107" s="564">
        <v>7.97</v>
      </c>
      <c r="J107" s="296" t="str">
        <f>FHD_NOTE_P_52</f>
        <v/>
      </c>
      <c r="K107" s="741"/>
      <c r="L107" s="742"/>
      <c r="M107" s="742"/>
      <c r="N107" s="917"/>
      <c r="O107" s="917"/>
      <c r="P107" s="917"/>
      <c r="Q107" s="917"/>
      <c r="R107" s="742"/>
      <c r="S107" s="917"/>
      <c r="T107" s="917"/>
      <c r="U107" s="743"/>
      <c r="V107" s="917"/>
      <c r="W107" s="917"/>
      <c r="X107" s="917"/>
      <c r="Y107" s="917"/>
      <c r="Z107" s="917"/>
      <c r="AA107" s="744"/>
      <c r="AB107" s="744"/>
      <c r="AC107" s="744"/>
      <c r="AD107" s="744"/>
      <c r="AE107" s="744"/>
      <c r="AF107" s="746">
        <v>0</v>
      </c>
    </row>
    <row s="1373" customFormat="1" customHeight="1" ht="18.75" hidden="1">
      <c r="A108" s="2393" t="s">
        <v>610</v>
      </c>
      <c r="C108" s="742"/>
      <c r="D108" s="740"/>
      <c r="E108" s="553" t="str">
        <f>FHD_NUM_P_53</f>
        <v/>
      </c>
      <c r="F108" s="1884" t="str">
        <f>FHD_P_53</f>
        <v/>
      </c>
      <c r="G108" s="1885" t="s">
        <v>609</v>
      </c>
      <c r="H108" s="984"/>
      <c r="I108" s="584"/>
      <c r="J108" s="296" t="str">
        <f>FHD_NOTE_P_53</f>
        <v/>
      </c>
      <c r="K108" s="741"/>
      <c r="L108" s="742"/>
      <c r="M108" s="742"/>
      <c r="R108" s="742"/>
      <c r="U108" s="743"/>
      <c r="AA108" s="744"/>
      <c r="AB108" s="744"/>
      <c r="AC108" s="744"/>
      <c r="AD108" s="744"/>
      <c r="AE108" s="744"/>
      <c r="AF108" s="917">
        <v>0</v>
      </c>
    </row>
    <row s="1373" customFormat="1" customHeight="1" ht="18.75" hidden="1">
      <c r="A109" s="2393"/>
      <c r="C109" s="742"/>
      <c r="D109" s="740"/>
      <c r="E109" s="553" t="str">
        <f>FHD_NUM_P_54</f>
        <v/>
      </c>
      <c r="F109" s="1884" t="str">
        <f>FHD_P_54</f>
        <v/>
      </c>
      <c r="G109" s="1885" t="s">
        <v>609</v>
      </c>
      <c r="H109" s="984"/>
      <c r="I109" s="584"/>
      <c r="J109" s="296" t="str">
        <f>FHD_NOTE_P_54</f>
        <v/>
      </c>
      <c r="K109" s="741"/>
      <c r="L109" s="742"/>
      <c r="M109" s="742"/>
      <c r="R109" s="742"/>
      <c r="U109" s="743"/>
      <c r="AA109" s="744"/>
      <c r="AB109" s="744"/>
      <c r="AC109" s="744"/>
      <c r="AD109" s="744"/>
      <c r="AE109" s="744"/>
      <c r="AF109" s="917">
        <v>0</v>
      </c>
    </row>
    <row s="1373" customFormat="1" customHeight="1" ht="18.75" hidden="1">
      <c r="A110" s="2393"/>
      <c r="C110" s="742"/>
      <c r="D110" s="745"/>
      <c r="E110" s="553" t="str">
        <f>FHD_NUM_P_55</f>
        <v/>
      </c>
      <c r="F110" s="1884" t="str">
        <f>FHD_P_55</f>
        <v/>
      </c>
      <c r="G110" s="1888"/>
      <c r="H110" s="984"/>
      <c r="I110" s="584"/>
      <c r="J110" s="296" t="str">
        <f>FHD_NOTE_P_55</f>
        <v/>
      </c>
      <c r="K110" s="741"/>
      <c r="L110" s="742"/>
      <c r="M110" s="742"/>
      <c r="R110" s="742"/>
      <c r="U110" s="743"/>
      <c r="AA110" s="744"/>
      <c r="AB110" s="744"/>
      <c r="AC110" s="744"/>
      <c r="AD110" s="744"/>
      <c r="AE110" s="744"/>
      <c r="AF110" s="917">
        <v>0</v>
      </c>
    </row>
    <row s="1373" customFormat="1" customHeight="1" ht="18.75" hidden="1">
      <c r="A111" s="2393"/>
      <c r="C111" s="742"/>
      <c r="D111" s="740"/>
      <c r="E111" s="553" t="str">
        <f>FHD_NUM_P_56</f>
        <v/>
      </c>
      <c r="F111" s="1884" t="str">
        <f>FHD_P_56</f>
        <v/>
      </c>
      <c r="G111" s="1885" t="s">
        <v>611</v>
      </c>
      <c r="H111" s="984"/>
      <c r="I111" s="584"/>
      <c r="J111" s="296" t="str">
        <f>FHD_NOTE_P_56</f>
        <v/>
      </c>
      <c r="K111" s="741"/>
      <c r="L111" s="742"/>
      <c r="M111" s="742"/>
      <c r="R111" s="742"/>
      <c r="U111" s="743"/>
      <c r="AA111" s="744"/>
      <c r="AB111" s="744"/>
      <c r="AC111" s="744"/>
      <c r="AD111" s="744"/>
      <c r="AE111" s="744"/>
      <c r="AF111" s="917">
        <v>0</v>
      </c>
    </row>
    <row s="1642" customFormat="1" customHeight="1" ht="18.75" hidden="1">
      <c r="A112" s="2393"/>
      <c r="B112" s="917"/>
      <c r="C112" s="742"/>
      <c r="D112" s="740"/>
      <c r="E112" s="553" t="str">
        <f>FHD_NUM_P_57</f>
        <v/>
      </c>
      <c r="F112" s="1884" t="str">
        <f>FHD_P_57</f>
        <v/>
      </c>
      <c r="G112" s="1885" t="s">
        <v>557</v>
      </c>
      <c r="H112" s="983"/>
      <c r="I112" s="564"/>
      <c r="J112" s="296" t="str">
        <f>FHD_NOTE_P_57</f>
        <v/>
      </c>
      <c r="K112" s="741"/>
      <c r="L112" s="742"/>
      <c r="M112" s="742"/>
      <c r="N112" s="917"/>
      <c r="O112" s="917"/>
      <c r="P112" s="917"/>
      <c r="Q112" s="917"/>
      <c r="R112" s="742"/>
      <c r="S112" s="917"/>
      <c r="T112" s="917"/>
      <c r="U112" s="743"/>
      <c r="V112" s="917"/>
      <c r="W112" s="917"/>
      <c r="X112" s="917"/>
      <c r="Y112" s="917"/>
      <c r="Z112" s="917"/>
      <c r="AA112" s="744"/>
      <c r="AB112" s="744"/>
      <c r="AC112" s="744"/>
      <c r="AD112" s="744"/>
      <c r="AE112" s="744"/>
      <c r="AF112" s="746">
        <v>0</v>
      </c>
    </row>
    <row customHeight="1" ht="18.75" hidden="1">
      <c r="A113" s="2391" t="s">
        <v>612</v>
      </c>
      <c r="D113" s="1645"/>
      <c r="E113" s="553" t="str">
        <f>FHD_NUM_P_58</f>
        <v/>
      </c>
      <c r="F113" s="1884" t="str">
        <f>FHD_P_58</f>
        <v/>
      </c>
      <c r="G113" s="1885" t="s">
        <v>609</v>
      </c>
      <c r="H113" s="984"/>
      <c r="I113" s="584"/>
      <c r="J113" s="296" t="str">
        <f>FHD_NOTE_P_58</f>
        <v/>
      </c>
      <c r="K113" s="550"/>
      <c r="AF113" s="1638">
        <v>0</v>
      </c>
    </row>
    <row customHeight="1" ht="18.75" hidden="1">
      <c r="A114" s="2391"/>
      <c r="D114" s="1645"/>
      <c r="E114" s="553" t="str">
        <f>FHD_NUM_P_59</f>
        <v/>
      </c>
      <c r="F114" s="1884" t="str">
        <f>FHD_P_59</f>
        <v/>
      </c>
      <c r="G114" s="1885" t="s">
        <v>609</v>
      </c>
      <c r="H114" s="984"/>
      <c r="I114" s="584"/>
      <c r="J114" s="296" t="str">
        <f>FHD_NOTE_P_59</f>
        <v/>
      </c>
      <c r="K114" s="550"/>
      <c r="AF114" s="1638">
        <v>0</v>
      </c>
    </row>
    <row customHeight="1" ht="18.75" hidden="1">
      <c r="A115" s="2391"/>
      <c r="D115" s="1645"/>
      <c r="E115" s="553" t="str">
        <f>FHD_NUM_P_60</f>
        <v/>
      </c>
      <c r="F115" s="1884" t="str">
        <f>FHD_P_60</f>
        <v/>
      </c>
      <c r="G115" s="1885" t="s">
        <v>609</v>
      </c>
      <c r="H115" s="984"/>
      <c r="I115" s="584"/>
      <c r="J115" s="296" t="str">
        <f>FHD_NOTE_P_60</f>
        <v/>
      </c>
      <c r="K115" s="550"/>
      <c r="AF115" s="1638">
        <v>0</v>
      </c>
    </row>
    <row s="1373" customFormat="1" customHeight="1" ht="18.75" hidden="1">
      <c r="A116" s="2391" t="s">
        <v>613</v>
      </c>
      <c r="C116" s="1643"/>
      <c r="D116" s="1645"/>
      <c r="E116" s="553" t="str">
        <f>FHD_NUM_P_61</f>
        <v/>
      </c>
      <c r="F116" s="1884" t="str">
        <f>FHD_P_61</f>
        <v/>
      </c>
      <c r="G116" s="1882" t="s">
        <v>555</v>
      </c>
      <c r="H116" s="986"/>
      <c r="I116" s="749"/>
      <c r="J116" s="296" t="str">
        <f>FHD_NOTE_P_61</f>
        <v/>
      </c>
      <c r="K116" s="550"/>
      <c r="L116" s="1643"/>
      <c r="M116" s="1643"/>
      <c r="R116" s="1643"/>
      <c r="U116" s="551"/>
      <c r="AA116" s="1639"/>
      <c r="AB116" s="1639"/>
      <c r="AC116" s="1639"/>
      <c r="AD116" s="1639"/>
      <c r="AE116" s="1639"/>
      <c r="AF116" s="1167">
        <v>0</v>
      </c>
    </row>
    <row s="1649" customFormat="1" customHeight="1" ht="0.75" hidden="1">
      <c r="A117" s="2391"/>
      <c r="D117" s="555"/>
      <c r="E117" s="1020" t="str">
        <f>E116&amp;".0"</f>
        <v>.0</v>
      </c>
      <c r="F117" s="1001"/>
      <c r="G117" s="1002"/>
      <c r="H117" s="999"/>
      <c r="I117" s="999"/>
      <c r="J117" s="1003"/>
      <c r="AF117" s="1643">
        <v>0</v>
      </c>
    </row>
    <row customHeight="1" ht="15" hidden="1">
      <c r="A118" s="2391"/>
      <c r="D118" s="1640"/>
      <c r="E118" s="978"/>
      <c r="F118" s="979" t="s">
        <v>614</v>
      </c>
      <c r="G118" s="579"/>
      <c r="H118" s="580"/>
      <c r="I118" s="580"/>
      <c r="J118" s="1011" t="s">
        <v>615</v>
      </c>
      <c r="K118" s="550"/>
      <c r="AF118" s="1638">
        <v>0</v>
      </c>
    </row>
    <row s="1373" customFormat="1" customHeight="1" ht="18.75" hidden="1">
      <c r="A119" s="2391"/>
      <c r="C119" s="1643"/>
      <c r="D119" s="1645"/>
      <c r="E119" s="553" t="str">
        <f>FHD_NUM_P_62</f>
        <v/>
      </c>
      <c r="F119" s="1884" t="str">
        <f>FHD_P_62</f>
        <v/>
      </c>
      <c r="G119" s="1881" t="s">
        <v>555</v>
      </c>
      <c r="H119" s="564"/>
      <c r="I119" s="564"/>
      <c r="J119" s="296" t="str">
        <f>FHD_NOTE_P_62</f>
        <v/>
      </c>
      <c r="K119" s="550"/>
      <c r="L119" s="1643"/>
      <c r="M119" s="1643"/>
      <c r="R119" s="1643"/>
      <c r="U119" s="551"/>
      <c r="AA119" s="1639"/>
      <c r="AB119" s="1639"/>
      <c r="AC119" s="1639"/>
      <c r="AD119" s="1639"/>
      <c r="AE119" s="1639"/>
      <c r="AF119" s="1167">
        <v>0</v>
      </c>
    </row>
    <row s="1373" customFormat="1" customHeight="1" ht="18.75" hidden="1">
      <c r="A120" s="2391"/>
      <c r="C120" s="1643"/>
      <c r="D120" s="1645"/>
      <c r="E120" s="553" t="str">
        <f>FHD_NUM_P_63</f>
        <v/>
      </c>
      <c r="F120" s="1884" t="str">
        <f>FHD_P_63</f>
        <v/>
      </c>
      <c r="G120" s="1881" t="s">
        <v>611</v>
      </c>
      <c r="H120" s="584"/>
      <c r="I120" s="584"/>
      <c r="J120" s="296" t="str">
        <f>FHD_NOTE_P_63</f>
        <v/>
      </c>
      <c r="K120" s="550"/>
      <c r="L120" s="1643"/>
      <c r="M120" s="1643"/>
      <c r="R120" s="1643"/>
      <c r="U120" s="551"/>
      <c r="AA120" s="1639"/>
      <c r="AB120" s="1639"/>
      <c r="AC120" s="1639"/>
      <c r="AD120" s="1639"/>
      <c r="AE120" s="1639"/>
      <c r="AF120" s="1167">
        <v>0</v>
      </c>
    </row>
    <row s="1373" customFormat="1" customHeight="1" ht="18.75" hidden="1">
      <c r="A121" s="2391"/>
      <c r="C121" s="1643"/>
      <c r="D121" s="1645"/>
      <c r="E121" s="553" t="str">
        <f>FHD_NUM_P_64</f>
        <v/>
      </c>
      <c r="F121" s="1884" t="str">
        <f>FHD_P_64</f>
        <v/>
      </c>
      <c r="G121" s="1881" t="s">
        <v>611</v>
      </c>
      <c r="H121" s="1414"/>
      <c r="I121" s="758"/>
      <c r="J121" s="296" t="str">
        <f>FHD_NOTE_P_64</f>
        <v/>
      </c>
      <c r="K121" s="550"/>
      <c r="L121" s="1643"/>
      <c r="M121" s="1643"/>
      <c r="R121" s="1643"/>
      <c r="U121" s="551"/>
      <c r="AA121" s="1639"/>
      <c r="AB121" s="1639"/>
      <c r="AC121" s="1639"/>
      <c r="AD121" s="1639"/>
      <c r="AE121" s="1639"/>
      <c r="AF121" s="1167">
        <v>0</v>
      </c>
    </row>
    <row s="1373" customFormat="1" customHeight="1" ht="18.75" hidden="1">
      <c r="A122" s="2391"/>
      <c r="C122" s="1643"/>
      <c r="D122" s="1645"/>
      <c r="E122" s="553" t="str">
        <f>FHD_NUM_P_65</f>
        <v/>
      </c>
      <c r="F122" s="1884" t="str">
        <f>FHD_P_65</f>
        <v/>
      </c>
      <c r="G122" s="1881" t="s">
        <v>611</v>
      </c>
      <c r="H122" s="584"/>
      <c r="I122" s="584"/>
      <c r="J122" s="296" t="str">
        <f>FHD_NOTE_P_65</f>
        <v/>
      </c>
      <c r="K122" s="550"/>
      <c r="L122" s="1643"/>
      <c r="M122" s="1643"/>
      <c r="R122" s="1643"/>
      <c r="U122" s="551"/>
      <c r="AA122" s="1639"/>
      <c r="AB122" s="1639"/>
      <c r="AC122" s="1639"/>
      <c r="AD122" s="1639"/>
      <c r="AE122" s="1639"/>
      <c r="AF122" s="1167">
        <v>0</v>
      </c>
    </row>
    <row s="1373" customFormat="1" customHeight="1" ht="18.75" hidden="1">
      <c r="A123" s="2391"/>
      <c r="C123" s="1643"/>
      <c r="D123" s="1645"/>
      <c r="E123" s="553" t="str">
        <f>FHD_NUM_P_66</f>
        <v/>
      </c>
      <c r="F123" s="1531" t="str">
        <f>FHD_P_66</f>
        <v/>
      </c>
      <c r="G123" s="1881" t="s">
        <v>611</v>
      </c>
      <c r="H123" s="584"/>
      <c r="I123" s="584"/>
      <c r="J123" s="296" t="str">
        <f>FHD_NOTE_P_66</f>
        <v/>
      </c>
      <c r="K123" s="550"/>
      <c r="L123" s="1643"/>
      <c r="M123" s="1643"/>
      <c r="R123" s="1643"/>
      <c r="U123" s="551"/>
      <c r="AA123" s="1639"/>
      <c r="AB123" s="1639"/>
      <c r="AC123" s="1639"/>
      <c r="AD123" s="1639"/>
      <c r="AE123" s="1639"/>
      <c r="AF123" s="1167">
        <v>0</v>
      </c>
    </row>
    <row s="1373" customFormat="1" customHeight="1" ht="18.75" hidden="1">
      <c r="A124" s="2391"/>
      <c r="C124" s="1643"/>
      <c r="D124" s="1645"/>
      <c r="E124" s="553" t="str">
        <f>FHD_NUM_P_67</f>
        <v/>
      </c>
      <c r="F124" s="1657" t="str">
        <f>FHD_P_67</f>
        <v/>
      </c>
      <c r="G124" s="1881" t="s">
        <v>611</v>
      </c>
      <c r="H124" s="584"/>
      <c r="I124" s="584"/>
      <c r="J124" s="296" t="str">
        <f>FHD_NOTE_P_67</f>
        <v/>
      </c>
      <c r="K124" s="550"/>
      <c r="L124" s="1643"/>
      <c r="M124" s="1643"/>
      <c r="R124" s="1643"/>
      <c r="U124" s="551"/>
      <c r="AA124" s="1639"/>
      <c r="AB124" s="1639"/>
      <c r="AC124" s="1639"/>
      <c r="AD124" s="1639"/>
      <c r="AE124" s="1639"/>
      <c r="AF124" s="1167">
        <v>0</v>
      </c>
    </row>
    <row s="1373" customFormat="1" customHeight="1" ht="18.75" hidden="1">
      <c r="A125" s="2391"/>
      <c r="C125" s="1643"/>
      <c r="D125" s="1645"/>
      <c r="E125" s="553" t="str">
        <f>FHD_NUM_P_68</f>
        <v/>
      </c>
      <c r="F125" s="1531" t="str">
        <f>FHD_P_68</f>
        <v/>
      </c>
      <c r="G125" s="1881" t="s">
        <v>611</v>
      </c>
      <c r="H125" s="584"/>
      <c r="I125" s="584"/>
      <c r="J125" s="296" t="str">
        <f>FHD_NOTE_P_68</f>
        <v/>
      </c>
      <c r="K125" s="550"/>
      <c r="L125" s="1643"/>
      <c r="M125" s="1643"/>
      <c r="R125" s="1643"/>
      <c r="U125" s="551"/>
      <c r="AA125" s="1639"/>
      <c r="AB125" s="1639"/>
      <c r="AC125" s="1639"/>
      <c r="AD125" s="1639"/>
      <c r="AE125" s="1639"/>
      <c r="AF125" s="1167">
        <v>0</v>
      </c>
    </row>
    <row s="1373" customFormat="1" customHeight="1" ht="18.75" hidden="1">
      <c r="A126" s="2391"/>
      <c r="C126" s="1643"/>
      <c r="D126" s="1645"/>
      <c r="E126" s="553" t="str">
        <f>FHD_NUM_P_69</f>
        <v/>
      </c>
      <c r="F126" s="1531" t="str">
        <f>FHD_P_69</f>
        <v/>
      </c>
      <c r="G126" s="1881" t="s">
        <v>611</v>
      </c>
      <c r="H126" s="584"/>
      <c r="I126" s="584"/>
      <c r="J126" s="296" t="str">
        <f>FHD_NOTE_P_69</f>
        <v/>
      </c>
      <c r="K126" s="550"/>
      <c r="L126" s="1643"/>
      <c r="M126" s="1643"/>
      <c r="R126" s="1643"/>
      <c r="U126" s="551"/>
      <c r="AA126" s="1639"/>
      <c r="AB126" s="1639"/>
      <c r="AC126" s="1639"/>
      <c r="AD126" s="1639"/>
      <c r="AE126" s="1639"/>
      <c r="AF126" s="1167">
        <v>0</v>
      </c>
    </row>
    <row s="1373" customFormat="1" customHeight="1" ht="22.5" hidden="1">
      <c r="A127" s="2391"/>
      <c r="C127" s="1643"/>
      <c r="D127" s="1645"/>
      <c r="E127" s="553" t="str">
        <f>FHD_NUM_P_70</f>
        <v/>
      </c>
      <c r="F127" s="1884" t="str">
        <f>FHD_P_70</f>
        <v/>
      </c>
      <c r="G127" s="1881" t="s">
        <v>616</v>
      </c>
      <c r="H127" s="564"/>
      <c r="I127" s="564"/>
      <c r="J127" s="296" t="str">
        <f>FHD_NOTE_P_70</f>
        <v/>
      </c>
      <c r="K127" s="550"/>
      <c r="L127" s="1643"/>
      <c r="M127" s="1643"/>
      <c r="R127" s="1643"/>
      <c r="U127" s="551"/>
      <c r="AA127" s="1639"/>
      <c r="AB127" s="1639"/>
      <c r="AC127" s="1639"/>
      <c r="AD127" s="1639"/>
      <c r="AE127" s="1639"/>
      <c r="AF127" s="1167">
        <v>0</v>
      </c>
    </row>
    <row s="1373" customFormat="1" customHeight="1" ht="22.5" hidden="1">
      <c r="A128" s="2391"/>
      <c r="C128" s="1643"/>
      <c r="D128" s="1645"/>
      <c r="E128" s="553" t="str">
        <f>FHD_NUM_P_71</f>
        <v/>
      </c>
      <c r="F128" s="1884" t="str">
        <f>FHD_P_71</f>
        <v/>
      </c>
      <c r="G128" s="1881" t="s">
        <v>616</v>
      </c>
      <c r="H128" s="564"/>
      <c r="I128" s="564"/>
      <c r="J128" s="296" t="str">
        <f>FHD_NOTE_P_71</f>
        <v/>
      </c>
      <c r="K128" s="550"/>
      <c r="L128" s="1643"/>
      <c r="M128" s="1643"/>
      <c r="R128" s="1643"/>
      <c r="U128" s="551"/>
      <c r="AA128" s="1639"/>
      <c r="AB128" s="1639"/>
      <c r="AC128" s="1639"/>
      <c r="AD128" s="1639"/>
      <c r="AE128" s="1639"/>
      <c r="AF128" s="1167">
        <v>0</v>
      </c>
    </row>
    <row customHeight="1" ht="20.25">
      <c r="D129" s="1645"/>
      <c r="E129" s="553" t="str">
        <f>FHD_NUM_P_72</f>
        <v>12</v>
      </c>
      <c r="F129" s="1884" t="str">
        <f>FHD_P_72</f>
        <v>Среднесписочная численность основного производственного персонала</v>
      </c>
      <c r="G129" s="1880" t="s">
        <v>617</v>
      </c>
      <c r="H129" s="584"/>
      <c r="I129" s="584">
        <v>6</v>
      </c>
      <c r="J129" s="296" t="str">
        <f>FHD_NOTE_P_72</f>
        <v/>
      </c>
      <c r="K129" s="550"/>
      <c r="AF129" s="1638">
        <v>19</v>
      </c>
    </row>
    <row customHeight="1" ht="18.75" hidden="1">
      <c r="A130" s="996" t="s">
        <v>618</v>
      </c>
      <c r="D130" s="1645"/>
      <c r="E130" s="553" t="str">
        <f>FHD_NUM_P_73</f>
        <v/>
      </c>
      <c r="F130" s="1884" t="str">
        <f>FHD_P_73</f>
        <v/>
      </c>
      <c r="G130" s="977" t="s">
        <v>617</v>
      </c>
      <c r="H130" s="975"/>
      <c r="I130" s="975"/>
      <c r="J130" s="296" t="str">
        <f>FHD_NOTE_P_73</f>
        <v/>
      </c>
      <c r="K130" s="550"/>
      <c r="AF130" s="1638">
        <v>0</v>
      </c>
    </row>
    <row customHeight="1" ht="33.75">
      <c r="A131" s="996" t="s">
        <v>619</v>
      </c>
      <c r="D131" s="1645"/>
      <c r="E131" s="553" t="str">
        <f>FHD_NUM_P_74</f>
        <v>13</v>
      </c>
      <c r="F131" s="1884" t="str">
        <f>FHD_P_74</f>
        <v>Удельный расход электрической энергии на подачу воды в сеть</v>
      </c>
      <c r="G131" s="1880" t="s">
        <v>620</v>
      </c>
      <c r="H131" s="584"/>
      <c r="I131" s="584">
        <v>0.4856</v>
      </c>
      <c r="J131" s="296" t="str">
        <f>FHD_NOTE_P_74</f>
        <v/>
      </c>
      <c r="K131" s="550"/>
      <c r="AF131" s="1638">
        <v>0</v>
      </c>
    </row>
    <row s="1642" customFormat="1" customHeight="1" ht="18.75">
      <c r="A132" s="2393" t="s">
        <v>621</v>
      </c>
      <c r="B132" s="917"/>
      <c r="C132" s="742"/>
      <c r="D132" s="740"/>
      <c r="E132" s="553" t="str">
        <f>FHD_NUM_P_75</f>
        <v>14</v>
      </c>
      <c r="F132" s="1884" t="str">
        <f>FHD_P_75</f>
        <v>Расход воды на собственные нужды, в том числе:</v>
      </c>
      <c r="G132" s="1880" t="s">
        <v>557</v>
      </c>
      <c r="H132" s="564"/>
      <c r="I132" s="564">
        <v>14.27</v>
      </c>
      <c r="J132" s="296" t="str">
        <f>FHD_NOTE_P_75</f>
        <v>Указывается доля общего расхода воды на собственные нужны от объема отпуска воды потребителям.</v>
      </c>
      <c r="K132" s="741"/>
      <c r="L132" s="742"/>
      <c r="M132" s="742"/>
      <c r="N132" s="917"/>
      <c r="O132" s="917"/>
      <c r="P132" s="917"/>
      <c r="Q132" s="917"/>
      <c r="R132" s="742"/>
      <c r="S132" s="917"/>
      <c r="T132" s="917"/>
      <c r="U132" s="743"/>
      <c r="V132" s="917"/>
      <c r="W132" s="917"/>
      <c r="X132" s="917"/>
      <c r="Y132" s="917"/>
      <c r="Z132" s="917"/>
      <c r="AA132" s="744"/>
      <c r="AB132" s="744"/>
      <c r="AC132" s="744"/>
      <c r="AD132" s="744"/>
      <c r="AE132" s="744"/>
      <c r="AF132" s="746">
        <v>0</v>
      </c>
    </row>
    <row s="1642" customFormat="1" customHeight="1" ht="18.75">
      <c r="A133" s="2393"/>
      <c r="B133" s="917"/>
      <c r="C133" s="742"/>
      <c r="D133" s="740"/>
      <c r="E133" s="553" t="str">
        <f>FHD_NUM_P_76</f>
        <v>14.1</v>
      </c>
      <c r="F133" s="1884" t="str">
        <f>FHD_P_76</f>
        <v>Расход воды на хозяйственно-бытовые нужды</v>
      </c>
      <c r="G133" s="1880" t="s">
        <v>557</v>
      </c>
      <c r="H133" s="564"/>
      <c r="I133" s="564">
        <v>14.27</v>
      </c>
      <c r="J133" s="296" t="str">
        <f>FHD_NOTE_P_76</f>
        <v>Указывается доля расхода воды на хозяйственно-бытовые нужны от объема отпуска воды потребителям.</v>
      </c>
      <c r="K133" s="741"/>
      <c r="L133" s="742"/>
      <c r="M133" s="742"/>
      <c r="N133" s="917"/>
      <c r="O133" s="917"/>
      <c r="P133" s="917"/>
      <c r="Q133" s="917"/>
      <c r="R133" s="742"/>
      <c r="S133" s="917"/>
      <c r="T133" s="917"/>
      <c r="U133" s="743"/>
      <c r="V133" s="917"/>
      <c r="W133" s="917"/>
      <c r="X133" s="917"/>
      <c r="Y133" s="917"/>
      <c r="Z133" s="917"/>
      <c r="AA133" s="744"/>
      <c r="AB133" s="744"/>
      <c r="AC133" s="744"/>
      <c r="AD133" s="744"/>
      <c r="AE133" s="744"/>
      <c r="AF133" s="746">
        <v>0</v>
      </c>
    </row>
    <row s="1642" customFormat="1" customHeight="1" ht="18.75">
      <c r="A134" s="2393"/>
      <c r="B134" s="917"/>
      <c r="C134" s="742"/>
      <c r="D134" s="740"/>
      <c r="E134" s="553" t="str">
        <f>FHD_NUM_P_77</f>
        <v>15</v>
      </c>
      <c r="F134" s="1884" t="str">
        <f>FHD_P_77</f>
        <v>Показатель использования производственных объектов (по объему перекачки), в том числе:</v>
      </c>
      <c r="G134" s="1880" t="s">
        <v>557</v>
      </c>
      <c r="H134" s="564"/>
      <c r="I134" s="564">
        <v>100</v>
      </c>
      <c r="J134" s="29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34" s="741"/>
      <c r="L134" s="742"/>
      <c r="M134" s="742"/>
      <c r="N134" s="917"/>
      <c r="O134" s="917"/>
      <c r="P134" s="917"/>
      <c r="Q134" s="917"/>
      <c r="R134" s="742"/>
      <c r="S134" s="917"/>
      <c r="T134" s="917"/>
      <c r="U134" s="743"/>
      <c r="V134" s="917"/>
      <c r="W134" s="917"/>
      <c r="X134" s="917"/>
      <c r="Y134" s="917"/>
      <c r="Z134" s="917"/>
      <c r="AA134" s="744"/>
      <c r="AB134" s="744"/>
      <c r="AC134" s="744"/>
      <c r="AD134" s="744"/>
      <c r="AE134" s="744"/>
      <c r="AF134" s="746">
        <v>0</v>
      </c>
    </row>
    <row s="1649" customFormat="1" customHeight="1" ht="0.75">
      <c r="A135" s="2393"/>
      <c r="D135" s="555"/>
      <c r="E135" s="1020" t="str">
        <f>E134&amp;".0"</f>
        <v>15.0</v>
      </c>
      <c r="F135" s="1004"/>
      <c r="G135" s="1658"/>
      <c r="H135" s="999"/>
      <c r="I135" s="999"/>
      <c r="J135" s="1003"/>
      <c r="AF135" s="1643">
        <v>0</v>
      </c>
    </row>
    <row s="1854" customFormat="1" customHeight="1" ht="22.5">
      <c r="A136" s="994"/>
      <c r="B136" s="1373"/>
      <c r="C136" s="1649"/>
      <c r="D136" s="690" t="s">
        <v>576</v>
      </c>
      <c r="E136" s="553" t="str">
        <f>E134&amp;".1"</f>
        <v>15.1</v>
      </c>
      <c r="F136" s="547" t="s">
        <v>622</v>
      </c>
      <c r="G136" s="2283" t="s">
        <v>557</v>
      </c>
      <c r="H136" s="552"/>
      <c r="I136" s="552">
        <v>100</v>
      </c>
      <c r="J136" s="752" t="s">
        <v>558</v>
      </c>
      <c r="K136" s="741"/>
      <c r="L136" s="1649"/>
      <c r="M136" s="1649"/>
      <c r="N136" s="1373"/>
      <c r="O136" s="1373"/>
      <c r="P136" s="1373"/>
      <c r="Q136" s="1373"/>
      <c r="R136" s="1649"/>
      <c r="S136" s="1373"/>
      <c r="T136" s="1373"/>
      <c r="U136" s="743"/>
      <c r="V136" s="1373"/>
      <c r="W136" s="1373"/>
      <c r="X136" s="1373"/>
      <c r="Y136" s="1373"/>
      <c r="Z136" s="1373"/>
      <c r="AA136" s="1639"/>
      <c r="AB136" s="1639"/>
      <c r="AC136" s="1639"/>
      <c r="AD136" s="1639"/>
      <c r="AE136" s="1639"/>
      <c r="AF136" s="1642">
        <v>0</v>
      </c>
    </row>
    <row s="1854" customFormat="1" customHeight="1" ht="22.5">
      <c r="A137" s="994"/>
      <c r="B137" s="1373"/>
      <c r="C137" s="1649"/>
      <c r="D137" s="690" t="s">
        <v>576</v>
      </c>
      <c r="E137" s="553" t="str">
        <f>E134&amp;".2"</f>
        <v>15.2</v>
      </c>
      <c r="F137" s="547" t="s">
        <v>623</v>
      </c>
      <c r="G137" s="2283" t="s">
        <v>557</v>
      </c>
      <c r="H137" s="552"/>
      <c r="I137" s="552">
        <v>100</v>
      </c>
      <c r="J137" s="752" t="s">
        <v>558</v>
      </c>
      <c r="K137" s="741"/>
      <c r="L137" s="1649"/>
      <c r="M137" s="1649"/>
      <c r="N137" s="1373"/>
      <c r="O137" s="1373"/>
      <c r="P137" s="1373"/>
      <c r="Q137" s="1373"/>
      <c r="R137" s="1649"/>
      <c r="S137" s="1373"/>
      <c r="T137" s="1373"/>
      <c r="U137" s="743"/>
      <c r="V137" s="1373"/>
      <c r="W137" s="1373"/>
      <c r="X137" s="1373"/>
      <c r="Y137" s="1373"/>
      <c r="Z137" s="1373"/>
      <c r="AA137" s="1639"/>
      <c r="AB137" s="1639"/>
      <c r="AC137" s="1639"/>
      <c r="AD137" s="1639"/>
      <c r="AE137" s="1639"/>
      <c r="AF137" s="1642">
        <v>0</v>
      </c>
    </row>
    <row s="1642" customFormat="1" customHeight="1" ht="15">
      <c r="A138" s="2393"/>
      <c r="B138" s="917"/>
      <c r="C138" s="742"/>
      <c r="D138" s="753"/>
      <c r="E138" s="980"/>
      <c r="F138" s="981" t="s">
        <v>624</v>
      </c>
      <c r="G138" s="754"/>
      <c r="H138" s="755"/>
      <c r="I138" s="755"/>
      <c r="J138" s="1010" t="s">
        <v>625</v>
      </c>
      <c r="K138" s="741"/>
      <c r="L138" s="742"/>
      <c r="M138" s="742"/>
      <c r="N138" s="917"/>
      <c r="O138" s="917"/>
      <c r="P138" s="917"/>
      <c r="Q138" s="917"/>
      <c r="R138" s="742"/>
      <c r="S138" s="917"/>
      <c r="T138" s="917"/>
      <c r="U138" s="743"/>
      <c r="V138" s="917"/>
      <c r="W138" s="917"/>
      <c r="X138" s="917"/>
      <c r="Y138" s="917"/>
      <c r="Z138" s="917"/>
      <c r="AA138" s="744"/>
      <c r="AB138" s="744"/>
      <c r="AC138" s="744"/>
      <c r="AD138" s="744"/>
      <c r="AE138" s="744"/>
      <c r="AF138" s="746">
        <v>0</v>
      </c>
    </row>
    <row customHeight="1" ht="22.5" hidden="1">
      <c r="A139" s="2391" t="s">
        <v>626</v>
      </c>
      <c r="D139" s="1645"/>
      <c r="E139" s="553" t="str">
        <f>FHD_NUM_P_78</f>
        <v/>
      </c>
      <c r="F139" s="1884" t="str">
        <f>FHD_P_78</f>
        <v/>
      </c>
      <c r="G139" s="1881" t="s">
        <v>559</v>
      </c>
      <c r="H139" s="584"/>
      <c r="I139" s="584"/>
      <c r="J139" s="296" t="str">
        <f>FHD_NOTE_P_78</f>
        <v/>
      </c>
      <c r="K139" s="550"/>
      <c r="AF139" s="1638">
        <v>0</v>
      </c>
    </row>
    <row s="1649" customFormat="1" customHeight="1" ht="0.75" hidden="1">
      <c r="A140" s="2391"/>
      <c r="D140" s="555"/>
      <c r="E140" s="1020" t="str">
        <f>E139&amp;".0"</f>
        <v>.0</v>
      </c>
      <c r="F140" s="1004"/>
      <c r="G140" s="1658"/>
      <c r="H140" s="999"/>
      <c r="I140" s="999"/>
      <c r="J140" s="1003"/>
      <c r="AF140" s="1643">
        <v>0</v>
      </c>
    </row>
    <row customHeight="1" ht="15" hidden="1">
      <c r="A141" s="2391"/>
      <c r="D141" s="1640"/>
      <c r="E141" s="577"/>
      <c r="F141" s="1175" t="s">
        <v>614</v>
      </c>
      <c r="G141" s="579"/>
      <c r="H141" s="580"/>
      <c r="I141" s="580"/>
      <c r="J141" s="1011" t="s">
        <v>627</v>
      </c>
      <c r="K141" s="550"/>
      <c r="AF141" s="1638">
        <v>0</v>
      </c>
    </row>
    <row customHeight="1" ht="22.5" hidden="1">
      <c r="A142" s="2391"/>
      <c r="D142" s="1645"/>
      <c r="E142" s="553" t="str">
        <f>FHD_NUM_P_79</f>
        <v/>
      </c>
      <c r="F142" s="1884" t="str">
        <f>FHD_P_79</f>
        <v/>
      </c>
      <c r="G142" s="1882" t="s">
        <v>561</v>
      </c>
      <c r="H142" s="584"/>
      <c r="I142" s="584"/>
      <c r="J142" s="296" t="str">
        <f>FHD_NOTE_P_79</f>
        <v/>
      </c>
      <c r="K142" s="550"/>
      <c r="AF142" s="1638">
        <v>0</v>
      </c>
    </row>
    <row s="1649" customFormat="1" customHeight="1" ht="0.75" hidden="1">
      <c r="A143" s="2391"/>
      <c r="D143" s="555"/>
      <c r="E143" s="1020" t="str">
        <f>E142&amp;".0"</f>
        <v>.0</v>
      </c>
      <c r="F143" s="1005"/>
      <c r="G143" s="1658"/>
      <c r="H143" s="999"/>
      <c r="I143" s="999"/>
      <c r="J143" s="1003"/>
      <c r="AF143" s="1643">
        <v>0</v>
      </c>
    </row>
    <row customHeight="1" ht="15" hidden="1">
      <c r="A144" s="2391"/>
      <c r="D144" s="1640"/>
      <c r="E144" s="577"/>
      <c r="F144" s="1175" t="s">
        <v>614</v>
      </c>
      <c r="G144" s="579"/>
      <c r="H144" s="580"/>
      <c r="I144" s="580"/>
      <c r="J144" s="1011" t="s">
        <v>628</v>
      </c>
      <c r="K144" s="550"/>
      <c r="AF144" s="1638">
        <v>0</v>
      </c>
    </row>
    <row customHeight="1" ht="22.5" hidden="1">
      <c r="A145" s="2391"/>
      <c r="D145" s="1645"/>
      <c r="E145" s="553" t="str">
        <f>FHD_NUM_P_80</f>
        <v/>
      </c>
      <c r="F145" s="1884" t="str">
        <f>FHD_P_80</f>
        <v/>
      </c>
      <c r="G145" s="1882" t="s">
        <v>629</v>
      </c>
      <c r="H145" s="564"/>
      <c r="I145" s="564"/>
      <c r="J145" s="296" t="str">
        <f>FHD_NOTE_P_80</f>
        <v/>
      </c>
      <c r="K145" s="550"/>
      <c r="AF145" s="1638">
        <v>0</v>
      </c>
    </row>
    <row customHeight="1" ht="18.75" hidden="1">
      <c r="A146" s="2391"/>
      <c r="D146" s="1645"/>
      <c r="E146" s="553" t="str">
        <f>FHD_NUM_P_81</f>
        <v/>
      </c>
      <c r="F146" s="1884" t="str">
        <f>FHD_P_81</f>
        <v/>
      </c>
      <c r="G146" s="1882" t="s">
        <v>630</v>
      </c>
      <c r="H146" s="564"/>
      <c r="I146" s="564"/>
      <c r="J146" s="296" t="str">
        <f>FHD_NOTE_P_81</f>
        <v/>
      </c>
      <c r="K146" s="550"/>
      <c r="AF146" s="1638">
        <v>0</v>
      </c>
    </row>
    <row customHeight="1" ht="18.75" hidden="1">
      <c r="A147" s="2391"/>
      <c r="C147" s="1643" t="s">
        <v>607</v>
      </c>
      <c r="D147" s="1645"/>
      <c r="E147" s="553" t="str">
        <f>FHD_NUM_P_82</f>
        <v/>
      </c>
      <c r="F147" s="1884" t="str">
        <f>FHD_P_82</f>
        <v/>
      </c>
      <c r="G147" s="1882" t="s">
        <v>305</v>
      </c>
      <c r="H147" s="408"/>
      <c r="I147" s="408"/>
      <c r="J147" s="296" t="str">
        <f>FHD_NOTE_P_82</f>
        <v/>
      </c>
      <c r="K147" s="550"/>
      <c r="AF147" s="1638">
        <v>0</v>
      </c>
    </row>
    <row customHeight="1" ht="18.75" hidden="1">
      <c r="A148" s="2391"/>
      <c r="C148" s="1643" t="s">
        <v>607</v>
      </c>
      <c r="D148" s="1645"/>
      <c r="E148" s="553" t="str">
        <f>FHD_NUM_P_83</f>
        <v/>
      </c>
      <c r="F148" s="1531" t="str">
        <f>FHD_P_83</f>
        <v/>
      </c>
      <c r="G148" s="1882" t="s">
        <v>305</v>
      </c>
      <c r="H148" s="408"/>
      <c r="I148" s="408"/>
      <c r="J148" s="296" t="str">
        <f>FHD_NOTE_P_83</f>
        <v/>
      </c>
      <c r="K148" s="550"/>
      <c r="AF148" s="1638">
        <v>0</v>
      </c>
    </row>
    <row customHeight="1" ht="18.75" hidden="1">
      <c r="A149" s="2391"/>
      <c r="C149" s="1643" t="s">
        <v>607</v>
      </c>
      <c r="D149" s="1645"/>
      <c r="E149" s="553" t="str">
        <f>FHD_NUM_P_84</f>
        <v/>
      </c>
      <c r="F149" s="1531" t="str">
        <f>FHD_P_84</f>
        <v/>
      </c>
      <c r="G149" s="1882" t="s">
        <v>305</v>
      </c>
      <c r="H149" s="408"/>
      <c r="I149" s="408"/>
      <c r="J149" s="296" t="str">
        <f>FHD_NOTE_P_84</f>
        <v/>
      </c>
      <c r="K149" s="550"/>
      <c r="AF149" s="1638">
        <v>0</v>
      </c>
    </row>
    <row customHeight="1" ht="11.549999999999999">
      <c r="D150" s="1645"/>
      <c r="AF150" s="1638">
        <v>11</v>
      </c>
    </row>
    <row customHeight="1" ht="13.5">
      <c r="D151" s="1645"/>
      <c r="E151" s="343"/>
      <c r="F151" s="376"/>
      <c r="G151" s="376"/>
      <c r="H151" s="376"/>
      <c r="I151" s="1654"/>
      <c r="J151" s="588"/>
      <c r="AF151" s="1638">
        <v>13</v>
      </c>
    </row>
    <row s="1648" customFormat="1" customHeight="1" ht="11.549999999999999">
      <c r="A152" s="994"/>
      <c r="B152" s="1643"/>
      <c r="C152" s="1643"/>
      <c r="D152" s="358"/>
      <c r="F152" s="1647"/>
      <c r="G152" s="1638"/>
      <c r="H152" s="1638"/>
      <c r="I152" s="163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H155" s="573" t="str">
        <f>IF(H30-H31&lt;&gt;H89,"WARNING","")</f>
        <v/>
      </c>
      <c r="I155" s="573" t="str">
        <f>IF(I30-I31&lt;&gt;I89,"WARNING","")</f>
        <v>WARNING</v>
      </c>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s="1648" customFormat="1" customHeight="1" ht="11.549999999999999">
      <c r="A289" s="994"/>
      <c r="B289" s="1643"/>
      <c r="C289" s="1643"/>
      <c r="D289" s="358"/>
      <c r="K289" s="1167"/>
      <c r="L289" s="1643"/>
      <c r="M289" s="1643"/>
      <c r="N289" s="1167"/>
      <c r="O289" s="1167"/>
      <c r="P289" s="1167"/>
      <c r="Q289" s="1167"/>
      <c r="R289" s="1643"/>
      <c r="S289" s="1167"/>
      <c r="T289" s="1167"/>
      <c r="U289" s="551"/>
      <c r="V289" s="1167"/>
      <c r="W289" s="1167"/>
      <c r="X289" s="1167"/>
      <c r="Y289" s="1167"/>
      <c r="Z289" s="1167"/>
      <c r="AA289" s="1639"/>
      <c r="AB289" s="573"/>
      <c r="AC289" s="573"/>
      <c r="AD289" s="573"/>
      <c r="AE289" s="573"/>
      <c r="AF289" s="1648">
        <v>11</v>
      </c>
    </row>
    <row s="1648" customFormat="1" customHeight="1" ht="11.549999999999999">
      <c r="A290" s="994"/>
      <c r="B290" s="1643"/>
      <c r="C290" s="1643"/>
      <c r="D290" s="358"/>
      <c r="K290" s="1167"/>
      <c r="L290" s="1643"/>
      <c r="M290" s="1643"/>
      <c r="N290" s="1167"/>
      <c r="O290" s="1167"/>
      <c r="P290" s="1167"/>
      <c r="Q290" s="1167"/>
      <c r="R290" s="1643"/>
      <c r="S290" s="1167"/>
      <c r="T290" s="1167"/>
      <c r="U290" s="551"/>
      <c r="V290" s="1167"/>
      <c r="W290" s="1167"/>
      <c r="X290" s="1167"/>
      <c r="Y290" s="1167"/>
      <c r="Z290" s="1167"/>
      <c r="AA290" s="1639"/>
      <c r="AB290" s="573"/>
      <c r="AC290" s="573"/>
      <c r="AD290" s="573"/>
      <c r="AE290" s="573"/>
      <c r="AF290" s="1648">
        <v>11</v>
      </c>
    </row>
    <row s="1648" customFormat="1" customHeight="1" ht="11.549999999999999">
      <c r="A291" s="994"/>
      <c r="B291" s="1643"/>
      <c r="C291" s="1643"/>
      <c r="D291" s="358"/>
      <c r="K291" s="1167"/>
      <c r="L291" s="1643"/>
      <c r="M291" s="1643"/>
      <c r="N291" s="1167"/>
      <c r="O291" s="1167"/>
      <c r="P291" s="1167"/>
      <c r="Q291" s="1167"/>
      <c r="R291" s="1643"/>
      <c r="S291" s="1167"/>
      <c r="T291" s="1167"/>
      <c r="U291" s="551"/>
      <c r="V291" s="1167"/>
      <c r="W291" s="1167"/>
      <c r="X291" s="1167"/>
      <c r="Y291" s="1167"/>
      <c r="Z291" s="1167"/>
      <c r="AA291" s="1639"/>
      <c r="AB291" s="573"/>
      <c r="AC291" s="573"/>
      <c r="AD291" s="573"/>
      <c r="AE291" s="573"/>
      <c r="AF291" s="1648">
        <v>11</v>
      </c>
    </row>
    <row s="1648" customFormat="1" customHeight="1" ht="11.549999999999999">
      <c r="A292" s="994"/>
      <c r="B292" s="1643"/>
      <c r="C292" s="1643"/>
      <c r="D292" s="358"/>
      <c r="K292" s="1167"/>
      <c r="L292" s="1643"/>
      <c r="M292" s="1643"/>
      <c r="N292" s="1167"/>
      <c r="O292" s="1167"/>
      <c r="P292" s="1167"/>
      <c r="Q292" s="1167"/>
      <c r="R292" s="1643"/>
      <c r="S292" s="1167"/>
      <c r="T292" s="1167"/>
      <c r="U292" s="551"/>
      <c r="V292" s="1167"/>
      <c r="W292" s="1167"/>
      <c r="X292" s="1167"/>
      <c r="Y292" s="1167"/>
      <c r="Z292" s="1167"/>
      <c r="AA292" s="1639"/>
      <c r="AB292" s="573"/>
      <c r="AC292" s="573"/>
      <c r="AD292" s="573"/>
      <c r="AE292" s="573"/>
      <c r="AF292" s="1648">
        <v>11</v>
      </c>
    </row>
    <row s="1648" customFormat="1" customHeight="1" ht="11.549999999999999">
      <c r="A293" s="994"/>
      <c r="B293" s="1643"/>
      <c r="C293" s="1643"/>
      <c r="D293" s="358"/>
      <c r="K293" s="1167"/>
      <c r="L293" s="1643"/>
      <c r="M293" s="1643"/>
      <c r="N293" s="1167"/>
      <c r="O293" s="1167"/>
      <c r="P293" s="1167"/>
      <c r="Q293" s="1167"/>
      <c r="R293" s="1643"/>
      <c r="S293" s="1167"/>
      <c r="T293" s="1167"/>
      <c r="U293" s="551"/>
      <c r="V293" s="1167"/>
      <c r="W293" s="1167"/>
      <c r="X293" s="1167"/>
      <c r="Y293" s="1167"/>
      <c r="Z293" s="1167"/>
      <c r="AA293" s="1639"/>
      <c r="AB293" s="573"/>
      <c r="AC293" s="573"/>
      <c r="AD293" s="573"/>
      <c r="AE293" s="573"/>
      <c r="AF293" s="1648">
        <v>11</v>
      </c>
    </row>
    <row s="1648" customFormat="1" customHeight="1" ht="11.549999999999999">
      <c r="A294" s="994"/>
      <c r="B294" s="1643"/>
      <c r="C294" s="1643"/>
      <c r="D294" s="358"/>
      <c r="K294" s="1167"/>
      <c r="L294" s="1643"/>
      <c r="M294" s="1643"/>
      <c r="N294" s="1167"/>
      <c r="O294" s="1167"/>
      <c r="P294" s="1167"/>
      <c r="Q294" s="1167"/>
      <c r="R294" s="1643"/>
      <c r="S294" s="1167"/>
      <c r="T294" s="1167"/>
      <c r="U294" s="551"/>
      <c r="V294" s="1167"/>
      <c r="W294" s="1167"/>
      <c r="X294" s="1167"/>
      <c r="Y294" s="1167"/>
      <c r="Z294" s="1167"/>
      <c r="AA294" s="1639"/>
      <c r="AB294" s="573"/>
      <c r="AC294" s="573"/>
      <c r="AD294" s="573"/>
      <c r="AE294" s="573"/>
      <c r="AF294" s="1648">
        <v>11</v>
      </c>
    </row>
    <row s="1648" customFormat="1" customHeight="1" ht="11.549999999999999">
      <c r="A295" s="994"/>
      <c r="B295" s="1643"/>
      <c r="C295" s="1643"/>
      <c r="D295" s="358"/>
      <c r="K295" s="1167"/>
      <c r="L295" s="1643"/>
      <c r="M295" s="1643"/>
      <c r="N295" s="1167"/>
      <c r="O295" s="1167"/>
      <c r="P295" s="1167"/>
      <c r="Q295" s="1167"/>
      <c r="R295" s="1643"/>
      <c r="S295" s="1167"/>
      <c r="T295" s="1167"/>
      <c r="U295" s="551"/>
      <c r="V295" s="1167"/>
      <c r="W295" s="1167"/>
      <c r="X295" s="1167"/>
      <c r="Y295" s="1167"/>
      <c r="Z295" s="1167"/>
      <c r="AA295" s="1639"/>
      <c r="AB295" s="573"/>
      <c r="AC295" s="573"/>
      <c r="AD295" s="573"/>
      <c r="AE295" s="573"/>
      <c r="AF295" s="1648">
        <v>11</v>
      </c>
    </row>
    <row s="1648" customFormat="1" customHeight="1" ht="11.549999999999999">
      <c r="A296" s="994"/>
      <c r="B296" s="1643"/>
      <c r="C296" s="1643"/>
      <c r="D296" s="358"/>
      <c r="K296" s="1167"/>
      <c r="L296" s="1643"/>
      <c r="M296" s="1643"/>
      <c r="N296" s="1167"/>
      <c r="O296" s="1167"/>
      <c r="P296" s="1167"/>
      <c r="Q296" s="1167"/>
      <c r="R296" s="1643"/>
      <c r="S296" s="1167"/>
      <c r="T296" s="1167"/>
      <c r="U296" s="551"/>
      <c r="V296" s="1167"/>
      <c r="W296" s="1167"/>
      <c r="X296" s="1167"/>
      <c r="Y296" s="1167"/>
      <c r="Z296" s="1167"/>
      <c r="AA296" s="1639"/>
      <c r="AB296" s="573"/>
      <c r="AC296" s="573"/>
      <c r="AD296" s="573"/>
      <c r="AE296" s="573"/>
      <c r="AF296" s="1648">
        <v>11</v>
      </c>
    </row>
    <row s="1648" customFormat="1" customHeight="1" ht="11.549999999999999">
      <c r="A297" s="994"/>
      <c r="B297" s="1643"/>
      <c r="C297" s="1643"/>
      <c r="D297" s="358"/>
      <c r="K297" s="1167"/>
      <c r="L297" s="1643"/>
      <c r="M297" s="1643"/>
      <c r="N297" s="1167"/>
      <c r="O297" s="1167"/>
      <c r="P297" s="1167"/>
      <c r="Q297" s="1167"/>
      <c r="R297" s="1643"/>
      <c r="S297" s="1167"/>
      <c r="T297" s="1167"/>
      <c r="U297" s="551"/>
      <c r="V297" s="1167"/>
      <c r="W297" s="1167"/>
      <c r="X297" s="1167"/>
      <c r="Y297" s="1167"/>
      <c r="Z297" s="1167"/>
      <c r="AA297" s="1639"/>
      <c r="AB297" s="573"/>
      <c r="AC297" s="573"/>
      <c r="AD297" s="573"/>
      <c r="AE297" s="573"/>
      <c r="AF297" s="1648">
        <v>11</v>
      </c>
    </row>
    <row s="1648" customFormat="1" customHeight="1" ht="11.549999999999999">
      <c r="A298" s="994"/>
      <c r="B298" s="1643"/>
      <c r="C298" s="1643"/>
      <c r="D298" s="358"/>
      <c r="K298" s="1167"/>
      <c r="L298" s="1643"/>
      <c r="M298" s="1643"/>
      <c r="N298" s="1167"/>
      <c r="O298" s="1167"/>
      <c r="P298" s="1167"/>
      <c r="Q298" s="1167"/>
      <c r="R298" s="1643"/>
      <c r="S298" s="1167"/>
      <c r="T298" s="1167"/>
      <c r="U298" s="551"/>
      <c r="V298" s="1167"/>
      <c r="W298" s="1167"/>
      <c r="X298" s="1167"/>
      <c r="Y298" s="1167"/>
      <c r="Z298" s="1167"/>
      <c r="AA298" s="1639"/>
      <c r="AB298" s="573"/>
      <c r="AC298" s="573"/>
      <c r="AD298" s="573"/>
      <c r="AE298" s="573"/>
      <c r="AF298" s="1648">
        <v>11</v>
      </c>
    </row>
    <row s="1648" customFormat="1" customHeight="1" ht="11.549999999999999">
      <c r="A299" s="994"/>
      <c r="B299" s="1643"/>
      <c r="C299" s="1643"/>
      <c r="D299" s="358"/>
      <c r="K299" s="1167"/>
      <c r="L299" s="1643"/>
      <c r="M299" s="1643"/>
      <c r="N299" s="1167"/>
      <c r="O299" s="1167"/>
      <c r="P299" s="1167"/>
      <c r="Q299" s="1167"/>
      <c r="R299" s="1643"/>
      <c r="S299" s="1167"/>
      <c r="T299" s="1167"/>
      <c r="U299" s="551"/>
      <c r="V299" s="1167"/>
      <c r="W299" s="1167"/>
      <c r="X299" s="1167"/>
      <c r="Y299" s="1167"/>
      <c r="Z299" s="1167"/>
      <c r="AA299" s="1639"/>
      <c r="AB299" s="573"/>
      <c r="AC299" s="573"/>
      <c r="AD299" s="573"/>
      <c r="AE299" s="573"/>
      <c r="AF299" s="1648">
        <v>11</v>
      </c>
    </row>
    <row s="1648" customFormat="1" customHeight="1" ht="11.549999999999999">
      <c r="A300" s="994"/>
      <c r="B300" s="1643"/>
      <c r="C300" s="1643"/>
      <c r="D300" s="358"/>
      <c r="K300" s="1167"/>
      <c r="L300" s="1643"/>
      <c r="M300" s="1643"/>
      <c r="N300" s="1167"/>
      <c r="O300" s="1167"/>
      <c r="P300" s="1167"/>
      <c r="Q300" s="1167"/>
      <c r="R300" s="1643"/>
      <c r="S300" s="1167"/>
      <c r="T300" s="1167"/>
      <c r="U300" s="551"/>
      <c r="V300" s="1167"/>
      <c r="W300" s="1167"/>
      <c r="X300" s="1167"/>
      <c r="Y300" s="1167"/>
      <c r="Z300" s="1167"/>
      <c r="AA300" s="1639"/>
      <c r="AB300" s="573"/>
      <c r="AC300" s="573"/>
      <c r="AD300" s="573"/>
      <c r="AE300" s="573"/>
      <c r="AF300" s="1648">
        <v>11</v>
      </c>
    </row>
    <row s="1648" customFormat="1" customHeight="1" ht="11.549999999999999">
      <c r="A301" s="994"/>
      <c r="B301" s="1643"/>
      <c r="C301" s="1643"/>
      <c r="D301" s="358"/>
      <c r="K301" s="1167"/>
      <c r="L301" s="1643"/>
      <c r="M301" s="1643"/>
      <c r="N301" s="1167"/>
      <c r="O301" s="1167"/>
      <c r="P301" s="1167"/>
      <c r="Q301" s="1167"/>
      <c r="R301" s="1643"/>
      <c r="S301" s="1167"/>
      <c r="T301" s="1167"/>
      <c r="U301" s="551"/>
      <c r="V301" s="1167"/>
      <c r="W301" s="1167"/>
      <c r="X301" s="1167"/>
      <c r="Y301" s="1167"/>
      <c r="Z301" s="1167"/>
      <c r="AA301" s="1639"/>
      <c r="AB301" s="573"/>
      <c r="AC301" s="573"/>
      <c r="AD301" s="573"/>
      <c r="AE301" s="573"/>
      <c r="AF301" s="1648">
        <v>11</v>
      </c>
    </row>
    <row s="1648" customFormat="1" customHeight="1" ht="11.549999999999999">
      <c r="A302" s="994"/>
      <c r="B302" s="1643"/>
      <c r="C302" s="1643"/>
      <c r="D302" s="358"/>
      <c r="K302" s="1167"/>
      <c r="L302" s="1643"/>
      <c r="M302" s="1643"/>
      <c r="N302" s="1167"/>
      <c r="O302" s="1167"/>
      <c r="P302" s="1167"/>
      <c r="Q302" s="1167"/>
      <c r="R302" s="1643"/>
      <c r="S302" s="1167"/>
      <c r="T302" s="1167"/>
      <c r="U302" s="551"/>
      <c r="V302" s="1167"/>
      <c r="W302" s="1167"/>
      <c r="X302" s="1167"/>
      <c r="Y302" s="1167"/>
      <c r="Z302" s="1167"/>
      <c r="AA302" s="1639"/>
      <c r="AB302" s="573"/>
      <c r="AC302" s="573"/>
      <c r="AD302" s="573"/>
      <c r="AE302" s="573"/>
      <c r="AF302" s="1648">
        <v>11</v>
      </c>
    </row>
    <row s="1648" customFormat="1" customHeight="1" ht="11.549999999999999">
      <c r="A303" s="994"/>
      <c r="B303" s="1643"/>
      <c r="C303" s="1643"/>
      <c r="D303" s="358"/>
      <c r="K303" s="1167"/>
      <c r="L303" s="1643"/>
      <c r="M303" s="1643"/>
      <c r="N303" s="1167"/>
      <c r="O303" s="1167"/>
      <c r="P303" s="1167"/>
      <c r="Q303" s="1167"/>
      <c r="R303" s="1643"/>
      <c r="S303" s="1167"/>
      <c r="T303" s="1167"/>
      <c r="U303" s="551"/>
      <c r="V303" s="1167"/>
      <c r="W303" s="1167"/>
      <c r="X303" s="1167"/>
      <c r="Y303" s="1167"/>
      <c r="Z303" s="1167"/>
      <c r="AA303" s="1639"/>
      <c r="AB303" s="573"/>
      <c r="AC303" s="573"/>
      <c r="AD303" s="573"/>
      <c r="AE303" s="573"/>
      <c r="AF303" s="1648">
        <v>11</v>
      </c>
    </row>
    <row s="1648" customFormat="1" customHeight="1" ht="11.549999999999999">
      <c r="A304" s="994"/>
      <c r="B304" s="1643"/>
      <c r="C304" s="1643"/>
      <c r="D304" s="358"/>
      <c r="K304" s="1167"/>
      <c r="L304" s="1643"/>
      <c r="M304" s="1643"/>
      <c r="N304" s="1167"/>
      <c r="O304" s="1167"/>
      <c r="P304" s="1167"/>
      <c r="Q304" s="1167"/>
      <c r="R304" s="1643"/>
      <c r="S304" s="1167"/>
      <c r="T304" s="1167"/>
      <c r="U304" s="551"/>
      <c r="V304" s="1167"/>
      <c r="W304" s="1167"/>
      <c r="X304" s="1167"/>
      <c r="Y304" s="1167"/>
      <c r="Z304" s="1167"/>
      <c r="AA304" s="1639"/>
      <c r="AB304" s="573"/>
      <c r="AC304" s="573"/>
      <c r="AD304" s="573"/>
      <c r="AE304" s="573"/>
      <c r="AF304" s="1648">
        <v>11</v>
      </c>
    </row>
    <row s="1648" customFormat="1" customHeight="1" ht="11.549999999999999">
      <c r="A305" s="994"/>
      <c r="B305" s="1643"/>
      <c r="C305" s="1643"/>
      <c r="D305" s="358"/>
      <c r="K305" s="1167"/>
      <c r="L305" s="1643"/>
      <c r="M305" s="1643"/>
      <c r="N305" s="1167"/>
      <c r="O305" s="1167"/>
      <c r="P305" s="1167"/>
      <c r="Q305" s="1167"/>
      <c r="R305" s="1643"/>
      <c r="S305" s="1167"/>
      <c r="T305" s="1167"/>
      <c r="U305" s="551"/>
      <c r="V305" s="1167"/>
      <c r="W305" s="1167"/>
      <c r="X305" s="1167"/>
      <c r="Y305" s="1167"/>
      <c r="Z305" s="1167"/>
      <c r="AA305" s="1639"/>
      <c r="AB305" s="573"/>
      <c r="AC305" s="573"/>
      <c r="AD305" s="573"/>
      <c r="AE305" s="573"/>
      <c r="AF305" s="1648">
        <v>11</v>
      </c>
    </row>
    <row s="1648" customFormat="1" customHeight="1" ht="11.549999999999999">
      <c r="A306" s="994"/>
      <c r="B306" s="1643"/>
      <c r="C306" s="1643"/>
      <c r="D306" s="358"/>
      <c r="K306" s="1167"/>
      <c r="L306" s="1643"/>
      <c r="M306" s="1643"/>
      <c r="N306" s="1167"/>
      <c r="O306" s="1167"/>
      <c r="P306" s="1167"/>
      <c r="Q306" s="1167"/>
      <c r="R306" s="1643"/>
      <c r="S306" s="1167"/>
      <c r="T306" s="1167"/>
      <c r="U306" s="551"/>
      <c r="V306" s="1167"/>
      <c r="W306" s="1167"/>
      <c r="X306" s="1167"/>
      <c r="Y306" s="1167"/>
      <c r="Z306" s="1167"/>
      <c r="AA306" s="1639"/>
      <c r="AB306" s="573"/>
      <c r="AC306" s="573"/>
      <c r="AD306" s="573"/>
      <c r="AE306" s="573"/>
      <c r="AF306" s="1648">
        <v>11</v>
      </c>
    </row>
    <row s="1648" customFormat="1" customHeight="1" ht="11.549999999999999">
      <c r="A307" s="994"/>
      <c r="B307" s="1643"/>
      <c r="C307" s="1643"/>
      <c r="D307" s="358"/>
      <c r="K307" s="1167"/>
      <c r="L307" s="1643"/>
      <c r="M307" s="1643"/>
      <c r="N307" s="1167"/>
      <c r="O307" s="1167"/>
      <c r="P307" s="1167"/>
      <c r="Q307" s="1167"/>
      <c r="R307" s="1643"/>
      <c r="S307" s="1167"/>
      <c r="T307" s="1167"/>
      <c r="U307" s="551"/>
      <c r="V307" s="1167"/>
      <c r="W307" s="1167"/>
      <c r="X307" s="1167"/>
      <c r="Y307" s="1167"/>
      <c r="Z307" s="1167"/>
      <c r="AA307" s="1639"/>
      <c r="AB307" s="573"/>
      <c r="AC307" s="573"/>
      <c r="AD307" s="573"/>
      <c r="AE307" s="573"/>
      <c r="AF307" s="1648">
        <v>11</v>
      </c>
    </row>
    <row customHeight="1" ht="11.549999999999999">
      <c r="AF308" s="1638">
        <v>11</v>
      </c>
    </row>
    <row customHeight="1" ht="11.549999999999999">
      <c r="AF309" s="1638">
        <v>11</v>
      </c>
    </row>
    <row customHeight="1" ht="11.549999999999999">
      <c r="AF310" s="1638">
        <v>11</v>
      </c>
    </row>
    <row customHeight="1" ht="11.549999999999999">
      <c r="A311" s="997"/>
      <c r="B311" s="1638"/>
      <c r="D311" s="1638"/>
      <c r="K311" s="1638"/>
      <c r="N311" s="1638"/>
      <c r="O311" s="1638"/>
      <c r="P311" s="1638"/>
      <c r="Q311" s="1638"/>
      <c r="S311" s="1638"/>
      <c r="T311" s="1638"/>
      <c r="U311" s="1638"/>
      <c r="V311" s="1638"/>
      <c r="W311" s="1638"/>
      <c r="X311" s="1638"/>
      <c r="Y311" s="1638"/>
      <c r="Z311" s="1638"/>
      <c r="AA311" s="1638"/>
      <c r="AB311" s="1638"/>
      <c r="AC311" s="1638"/>
      <c r="AD311" s="1638"/>
      <c r="AE311" s="1638"/>
      <c r="AF311" s="1638">
        <v>11</v>
      </c>
    </row>
    <row customHeight="1" ht="11.549999999999999">
      <c r="A312" s="997"/>
      <c r="B312" s="1638"/>
      <c r="D312" s="1638"/>
      <c r="K312" s="1638"/>
      <c r="N312" s="1638"/>
      <c r="O312" s="1638"/>
      <c r="P312" s="1638"/>
      <c r="Q312" s="1638"/>
      <c r="S312" s="1638"/>
      <c r="T312" s="1638"/>
      <c r="U312" s="1638"/>
      <c r="V312" s="1638"/>
      <c r="W312" s="1638"/>
      <c r="X312" s="1638"/>
      <c r="Y312" s="1638"/>
      <c r="Z312" s="1638"/>
      <c r="AA312" s="1638"/>
      <c r="AB312" s="1638"/>
      <c r="AC312" s="1638"/>
      <c r="AD312" s="1638"/>
      <c r="AE312" s="1638"/>
      <c r="AF312" s="1638">
        <v>11</v>
      </c>
    </row>
    <row customHeight="1" ht="11.549999999999999">
      <c r="A313" s="997"/>
      <c r="B313" s="1638"/>
      <c r="D313" s="1638"/>
      <c r="K313" s="1638"/>
      <c r="N313" s="1638"/>
      <c r="O313" s="1638"/>
      <c r="P313" s="1638"/>
      <c r="Q313" s="1638"/>
      <c r="S313" s="1638"/>
      <c r="T313" s="1638"/>
      <c r="U313" s="1638"/>
      <c r="V313" s="1638"/>
      <c r="W313" s="1638"/>
      <c r="X313" s="1638"/>
      <c r="Y313" s="1638"/>
      <c r="Z313" s="1638"/>
      <c r="AA313" s="1638"/>
      <c r="AB313" s="1638"/>
      <c r="AC313" s="1638"/>
      <c r="AD313" s="1638"/>
      <c r="AE313" s="1638"/>
      <c r="AF313" s="1638">
        <v>11</v>
      </c>
    </row>
    <row customHeight="1" ht="11.549999999999999">
      <c r="A314" s="997"/>
      <c r="B314" s="1638"/>
      <c r="D314" s="1638"/>
      <c r="K314" s="1638"/>
      <c r="N314" s="1638"/>
      <c r="O314" s="1638"/>
      <c r="P314" s="1638"/>
      <c r="Q314" s="1638"/>
      <c r="S314" s="1638"/>
      <c r="T314" s="1638"/>
      <c r="U314" s="1638"/>
      <c r="V314" s="1638"/>
      <c r="W314" s="1638"/>
      <c r="X314" s="1638"/>
      <c r="Y314" s="1638"/>
      <c r="Z314" s="1638"/>
      <c r="AA314" s="1638"/>
      <c r="AB314" s="1638"/>
      <c r="AC314" s="1638"/>
      <c r="AD314" s="1638"/>
      <c r="AE314" s="1638"/>
      <c r="AF314" s="1638">
        <v>11</v>
      </c>
    </row>
    <row customHeight="1" ht="11.549999999999999">
      <c r="A315" s="997"/>
      <c r="B315" s="1638"/>
      <c r="D315" s="1638"/>
      <c r="K315" s="1638"/>
      <c r="N315" s="1638"/>
      <c r="O315" s="1638"/>
      <c r="P315" s="1638"/>
      <c r="Q315" s="1638"/>
      <c r="S315" s="1638"/>
      <c r="T315" s="1638"/>
      <c r="U315" s="1638"/>
      <c r="V315" s="1638"/>
      <c r="W315" s="1638"/>
      <c r="X315" s="1638"/>
      <c r="Y315" s="1638"/>
      <c r="Z315" s="1638"/>
      <c r="AA315" s="1638"/>
      <c r="AB315" s="1638"/>
      <c r="AC315" s="1638"/>
      <c r="AD315" s="1638"/>
      <c r="AE315" s="1638"/>
      <c r="AF315" s="1638">
        <v>11</v>
      </c>
    </row>
    <row customHeight="1" ht="11.549999999999999">
      <c r="A316" s="997"/>
      <c r="B316" s="1638"/>
      <c r="D316" s="1638"/>
      <c r="K316" s="1638"/>
      <c r="N316" s="1638"/>
      <c r="O316" s="1638"/>
      <c r="P316" s="1638"/>
      <c r="Q316" s="1638"/>
      <c r="S316" s="1638"/>
      <c r="T316" s="1638"/>
      <c r="U316" s="1638"/>
      <c r="V316" s="1638"/>
      <c r="W316" s="1638"/>
      <c r="X316" s="1638"/>
      <c r="Y316" s="1638"/>
      <c r="Z316" s="1638"/>
      <c r="AA316" s="1638"/>
      <c r="AB316" s="1638"/>
      <c r="AC316" s="1638"/>
      <c r="AD316" s="1638"/>
      <c r="AE316" s="1638"/>
      <c r="AF316" s="1638">
        <v>11</v>
      </c>
    </row>
    <row customHeight="1" ht="11.549999999999999">
      <c r="A317" s="997"/>
      <c r="B317" s="1638"/>
      <c r="D317" s="1638"/>
      <c r="K317" s="1638"/>
      <c r="N317" s="1638"/>
      <c r="O317" s="1638"/>
      <c r="P317" s="1638"/>
      <c r="Q317" s="1638"/>
      <c r="S317" s="1638"/>
      <c r="T317" s="1638"/>
      <c r="U317" s="1638"/>
      <c r="V317" s="1638"/>
      <c r="W317" s="1638"/>
      <c r="X317" s="1638"/>
      <c r="Y317" s="1638"/>
      <c r="Z317" s="1638"/>
      <c r="AA317" s="1638"/>
      <c r="AB317" s="1638"/>
      <c r="AC317" s="1638"/>
      <c r="AD317" s="1638"/>
      <c r="AE317" s="1638"/>
      <c r="AF317" s="1638">
        <v>11</v>
      </c>
    </row>
    <row customHeight="1" ht="11.549999999999999">
      <c r="A318" s="997"/>
      <c r="B318" s="1638"/>
      <c r="D318" s="1638"/>
      <c r="K318" s="1638"/>
      <c r="N318" s="1638"/>
      <c r="O318" s="1638"/>
      <c r="P318" s="1638"/>
      <c r="Q318" s="1638"/>
      <c r="S318" s="1638"/>
      <c r="T318" s="1638"/>
      <c r="U318" s="1638"/>
      <c r="V318" s="1638"/>
      <c r="W318" s="1638"/>
      <c r="X318" s="1638"/>
      <c r="Y318" s="1638"/>
      <c r="Z318" s="1638"/>
      <c r="AA318" s="1638"/>
      <c r="AB318" s="1638"/>
      <c r="AC318" s="1638"/>
      <c r="AD318" s="1638"/>
      <c r="AE318" s="1638"/>
      <c r="AF318" s="1638">
        <v>11</v>
      </c>
    </row>
    <row customHeight="1" ht="11.549999999999999">
      <c r="A319" s="997"/>
      <c r="B319" s="1638"/>
      <c r="D319" s="1638"/>
      <c r="K319" s="1638"/>
      <c r="N319" s="1638"/>
      <c r="O319" s="1638"/>
      <c r="P319" s="1638"/>
      <c r="Q319" s="1638"/>
      <c r="S319" s="1638"/>
      <c r="T319" s="1638"/>
      <c r="U319" s="1638"/>
      <c r="V319" s="1638"/>
      <c r="W319" s="1638"/>
      <c r="X319" s="1638"/>
      <c r="Y319" s="1638"/>
      <c r="Z319" s="1638"/>
      <c r="AA319" s="1638"/>
      <c r="AB319" s="1638"/>
      <c r="AC319" s="1638"/>
      <c r="AD319" s="1638"/>
      <c r="AE319" s="1638"/>
      <c r="AF319" s="1638">
        <v>11</v>
      </c>
    </row>
    <row customHeight="1" ht="11.549999999999999">
      <c r="A320" s="997"/>
      <c r="B320" s="1638"/>
      <c r="D320" s="1638"/>
      <c r="K320" s="1638"/>
      <c r="N320" s="1638"/>
      <c r="O320" s="1638"/>
      <c r="P320" s="1638"/>
      <c r="Q320" s="1638"/>
      <c r="S320" s="1638"/>
      <c r="T320" s="1638"/>
      <c r="U320" s="1638"/>
      <c r="V320" s="1638"/>
      <c r="W320" s="1638"/>
      <c r="X320" s="1638"/>
      <c r="Y320" s="1638"/>
      <c r="Z320" s="1638"/>
      <c r="AA320" s="1638"/>
      <c r="AB320" s="1638"/>
      <c r="AC320" s="1638"/>
      <c r="AD320" s="1638"/>
      <c r="AE320" s="1638"/>
      <c r="AF320" s="1638">
        <v>11</v>
      </c>
    </row>
    <row customHeight="1" ht="11.549999999999999">
      <c r="A321" s="997"/>
      <c r="B321" s="1638"/>
      <c r="D321" s="1638"/>
      <c r="K321" s="1638"/>
      <c r="N321" s="1638"/>
      <c r="O321" s="1638"/>
      <c r="P321" s="1638"/>
      <c r="Q321" s="1638"/>
      <c r="S321" s="1638"/>
      <c r="T321" s="1638"/>
      <c r="U321" s="1638"/>
      <c r="V321" s="1638"/>
      <c r="W321" s="1638"/>
      <c r="X321" s="1638"/>
      <c r="Y321" s="1638"/>
      <c r="Z321" s="1638"/>
      <c r="AA321" s="1638"/>
      <c r="AB321" s="1638"/>
      <c r="AC321" s="1638"/>
      <c r="AD321" s="1638"/>
      <c r="AE321" s="1638"/>
      <c r="AF321" s="1638">
        <v>11</v>
      </c>
    </row>
    <row customHeight="1" ht="11.25" hidden="1">
      <c r="A322" s="994" t="s">
        <v>81</v>
      </c>
      <c r="B322" s="1167">
        <v>0</v>
      </c>
      <c r="C322" s="1643">
        <v>0</v>
      </c>
      <c r="D322" s="1642">
        <v>3</v>
      </c>
      <c r="E322" s="1638">
        <v>7</v>
      </c>
      <c r="F322" s="1638">
        <v>54</v>
      </c>
      <c r="G322" s="1638">
        <v>10</v>
      </c>
      <c r="H322" s="1638">
        <v>0</v>
      </c>
      <c r="I322" s="1638">
        <v>40</v>
      </c>
      <c r="J322" s="1638">
        <v>102</v>
      </c>
      <c r="K322" s="1167">
        <v>9</v>
      </c>
      <c r="L322" s="1643">
        <v>5</v>
      </c>
      <c r="M322" s="1643">
        <v>3</v>
      </c>
      <c r="N322" s="1167">
        <v>3</v>
      </c>
      <c r="O322" s="1167">
        <v>3</v>
      </c>
      <c r="P322" s="1167">
        <v>3</v>
      </c>
      <c r="Q322" s="1167">
        <v>3</v>
      </c>
      <c r="R322" s="1643">
        <v>10</v>
      </c>
      <c r="S322" s="1167">
        <v>34</v>
      </c>
      <c r="T322" s="1167">
        <v>9</v>
      </c>
      <c r="U322" s="551">
        <v>8</v>
      </c>
      <c r="V322" s="1167">
        <v>8</v>
      </c>
      <c r="W322" s="1167">
        <v>8</v>
      </c>
      <c r="X322" s="1167">
        <v>8</v>
      </c>
      <c r="Y322" s="1167">
        <v>8</v>
      </c>
      <c r="Z322" s="1167">
        <v>8</v>
      </c>
      <c r="AA322" s="1639">
        <v>8</v>
      </c>
      <c r="AB322" s="1639">
        <v>8</v>
      </c>
      <c r="AC322" s="1639">
        <v>8</v>
      </c>
      <c r="AD322" s="1639">
        <v>8</v>
      </c>
      <c r="AE322" s="1639">
        <v>8</v>
      </c>
      <c r="AF322" s="1638">
        <v>11</v>
      </c>
    </row>
  </sheetData>
  <sheetProtection formatColumns="0" formatRows="0" autoFilter="0" sort="0" insertRows="0" insertColumns="1" deleteRows="0" deleteColumns="0"/>
  <mergeCells count="18">
    <mergeCell ref="A139:A149"/>
    <mergeCell ref="E21:I21"/>
    <mergeCell ref="E22:I22"/>
    <mergeCell ref="A33:A40"/>
    <mergeCell ref="B34:B39"/>
    <mergeCell ref="A41:A43"/>
    <mergeCell ref="A67:A68"/>
    <mergeCell ref="A99:A107"/>
    <mergeCell ref="A108:A112"/>
    <mergeCell ref="A113:A115"/>
    <mergeCell ref="A116:A128"/>
    <mergeCell ref="A132:A138"/>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107:I107 H112:I112">
      <formula1>0</formula1>
      <formula2>100</formula2>
    </dataValidation>
    <dataValidation type="decimal" allowBlank="1" showErrorMessage="1" errorTitle="Ошибка" error="Допускается ввод только действительных чисел!" sqref="H142:I142 H139:I139 H145:I145 H92:I97 H121:I121">
      <formula1>-9.99999999999999E+37</formula1>
      <formula2>9.99999999999999E+37</formula2>
    </dataValidation>
    <dataValidation type="decimal" allowBlank="1" showErrorMessage="1" errorTitle="Ошибка" error="Допускается ввод только действительных чисел!" sqref="H89:I9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47:I149 H98:I98">
      <formula1>900</formula1>
    </dataValidation>
    <dataValidation type="list" allowBlank="1" showInputMessage="1" showErrorMessage="1" errorTitle="Ошибка" error="Выберите значение из списка" prompt="Выберите значение из списка" sqref="G110">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108:I111 H146:I146 H30:I30 H32:I33 H35:I38 H40:I65 H99:I103 H17:I17 H9:I13 H15:I15 H4:I6 H91:I91 H105:I106 H113:I120 H122:I138 H71:H87 I71:I87">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1948B-865E-69E7-36C4-0.78C3E92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5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7"/>
      <c r="G5" s="2257"/>
      <c r="H5" s="2257"/>
      <c r="I5" s="2257"/>
      <c r="J5" s="2257"/>
      <c r="K5" s="2257"/>
      <c r="L5" s="620"/>
      <c r="M5" s="620"/>
      <c r="CF5" s="512">
        <v>28</v>
      </c>
    </row>
    <row s="1642" customFormat="1" customHeight="1" ht="16.8">
      <c r="A6" s="617"/>
      <c r="B6" s="766"/>
      <c r="C6" s="516"/>
      <c r="D6" s="1065"/>
      <c r="E6" s="2196" t="str">
        <f>IF(org=0,"Не определено",org)</f>
        <v>ИМУП «ПОСЖИЛКОМСЕРВИС»</v>
      </c>
      <c r="F6" s="2196"/>
      <c r="G6" s="2196"/>
      <c r="H6" s="2196"/>
      <c r="I6" s="2196"/>
      <c r="J6" s="2196"/>
      <c r="K6" s="2196"/>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21" t="s">
        <v>299</v>
      </c>
      <c r="F9" s="2122"/>
      <c r="G9" s="2122"/>
      <c r="H9" s="2122"/>
      <c r="I9" s="2122"/>
      <c r="J9" s="2122"/>
      <c r="K9" s="2122"/>
      <c r="L9" s="2122"/>
      <c r="M9" s="2122"/>
      <c r="N9" s="2122"/>
      <c r="O9" s="2122"/>
      <c r="P9" s="2122"/>
      <c r="Q9" s="2122"/>
      <c r="R9" s="2123"/>
      <c r="S9" s="2147" t="s">
        <v>300</v>
      </c>
      <c r="T9" s="341"/>
      <c r="CF9" s="512">
        <v>19</v>
      </c>
    </row>
    <row customHeight="1" ht="48.29999999999999">
      <c r="D10" s="558" t="s">
        <v>87</v>
      </c>
      <c r="E10" s="2147" t="s">
        <v>87</v>
      </c>
      <c r="F10" s="2147"/>
      <c r="G10" s="528" t="s">
        <v>301</v>
      </c>
      <c r="H10" s="2147" t="s">
        <v>87</v>
      </c>
      <c r="I10" s="2147"/>
      <c r="J10" s="528" t="s">
        <v>631</v>
      </c>
      <c r="K10" s="528" t="s">
        <v>632</v>
      </c>
      <c r="L10" s="2147" t="s">
        <v>87</v>
      </c>
      <c r="M10" s="2147"/>
      <c r="N10" s="528" t="s">
        <v>633</v>
      </c>
      <c r="O10" s="528" t="s">
        <v>634</v>
      </c>
      <c r="P10" s="528" t="s">
        <v>635</v>
      </c>
      <c r="Q10" s="528" t="s">
        <v>636</v>
      </c>
      <c r="R10" s="528" t="s">
        <v>637</v>
      </c>
      <c r="S10" s="2147"/>
      <c r="T10" s="341"/>
      <c r="CF10" s="512">
        <v>46</v>
      </c>
    </row>
    <row s="1649" customFormat="1" customHeight="1" ht="15">
      <c r="A11" s="1059"/>
      <c r="D11" s="1032" t="s">
        <v>109</v>
      </c>
      <c r="E11" s="1032"/>
      <c r="F11" s="1032" t="s">
        <v>110</v>
      </c>
      <c r="G11" s="1032" t="s">
        <v>89</v>
      </c>
      <c r="H11" s="1032"/>
      <c r="I11" s="1032" t="s">
        <v>90</v>
      </c>
      <c r="J11" s="1032" t="s">
        <v>111</v>
      </c>
      <c r="K11" s="1032" t="s">
        <v>91</v>
      </c>
      <c r="L11" s="1032"/>
      <c r="M11" s="1032" t="s">
        <v>92</v>
      </c>
      <c r="N11" s="1032" t="s">
        <v>112</v>
      </c>
      <c r="O11" s="1032" t="s">
        <v>149</v>
      </c>
      <c r="P11" s="1032" t="s">
        <v>150</v>
      </c>
      <c r="Q11" s="1032" t="s">
        <v>151</v>
      </c>
      <c r="R11" s="1032" t="s">
        <v>152</v>
      </c>
      <c r="S11" s="1032" t="s">
        <v>153</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375</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4" customFormat="1" customHeight="1" ht="15">
      <c r="A14" s="630" t="s">
        <v>117</v>
      </c>
      <c r="B14" s="631"/>
      <c r="C14" s="631"/>
      <c r="D14" s="2400" t="s">
        <v>109</v>
      </c>
      <c r="E14" s="2397" t="s">
        <v>105</v>
      </c>
      <c r="F14" s="2398"/>
      <c r="G14" s="2399"/>
      <c r="H14" s="2403" t="str">
        <f>IF(A14="","",INDEX(DIFFERENTIATION_UNMERGE_VD,MATCH(A14,DIFFERENTIATION_ID_DIFF,0)))</f>
        <v>Холодное водоснабжение. Питьевая вода</v>
      </c>
      <c r="I14" s="2403"/>
      <c r="J14" s="2403"/>
      <c r="K14" s="2403"/>
      <c r="L14" s="2403"/>
      <c r="M14" s="2403"/>
      <c r="N14" s="2403"/>
      <c r="O14" s="2403"/>
      <c r="P14" s="2403"/>
      <c r="Q14" s="2403"/>
      <c r="R14" s="2403"/>
      <c r="S14" s="726"/>
      <c r="T14" s="723"/>
      <c r="U14" s="632"/>
      <c r="V14" s="632"/>
      <c r="W14" s="633"/>
      <c r="X14" s="633"/>
      <c r="Y14" s="633"/>
      <c r="Z14" s="633"/>
      <c r="AA14" s="634"/>
      <c r="AB14" s="635"/>
      <c r="AC14" s="2395"/>
      <c r="AD14" s="636"/>
      <c r="AE14" s="637" t="s">
        <v>22</v>
      </c>
      <c r="AF14" s="637"/>
      <c r="AG14" s="638" t="s">
        <v>638</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4" customFormat="1" customHeight="1" ht="15">
      <c r="A15" s="630"/>
      <c r="B15" s="631"/>
      <c r="C15" s="631"/>
      <c r="D15" s="2401"/>
      <c r="E15" s="2397" t="s">
        <v>563</v>
      </c>
      <c r="F15" s="2398"/>
      <c r="G15" s="2399"/>
      <c r="H15" s="2403" t="str">
        <f>IF(A14="","",INDEX(DIFFERENTIATION_UNMERGE_AREA,MATCH(A14,DIFFERENTIATION_ID_DIFF,0)))</f>
        <v>Территория 1</v>
      </c>
      <c r="I15" s="2403"/>
      <c r="J15" s="2403"/>
      <c r="K15" s="2403"/>
      <c r="L15" s="2403"/>
      <c r="M15" s="2403"/>
      <c r="N15" s="2403"/>
      <c r="O15" s="2403"/>
      <c r="P15" s="2403"/>
      <c r="Q15" s="2403"/>
      <c r="R15" s="2403"/>
      <c r="S15" s="726"/>
      <c r="T15" s="723"/>
      <c r="U15" s="632"/>
      <c r="V15" s="632"/>
      <c r="W15" s="633"/>
      <c r="X15" s="633"/>
      <c r="Y15" s="633"/>
      <c r="Z15" s="633"/>
      <c r="AA15" s="634"/>
      <c r="AB15" s="635"/>
      <c r="AC15" s="2395"/>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4" customFormat="1" customHeight="1" ht="15">
      <c r="A16" s="630"/>
      <c r="B16" s="631"/>
      <c r="C16" s="631"/>
      <c r="D16" s="2401"/>
      <c r="E16" s="2397" t="s">
        <v>564</v>
      </c>
      <c r="F16" s="2398"/>
      <c r="G16" s="2399"/>
      <c r="H16" s="2403" t="str">
        <f>IF(A14="","",INDEX(DIFFERENTIATION_UNMERGE_SYSTEM,MATCH(A14,DIFFERENTIATION_ID_DIFF,0)))</f>
        <v>без дифференциации</v>
      </c>
      <c r="I16" s="2403"/>
      <c r="J16" s="2403"/>
      <c r="K16" s="2403"/>
      <c r="L16" s="2403"/>
      <c r="M16" s="2403"/>
      <c r="N16" s="2403"/>
      <c r="O16" s="2403"/>
      <c r="P16" s="2403"/>
      <c r="Q16" s="2403"/>
      <c r="R16" s="2403"/>
      <c r="S16" s="726"/>
      <c r="T16" s="723"/>
      <c r="U16" s="632"/>
      <c r="V16" s="632"/>
      <c r="W16" s="633"/>
      <c r="X16" s="633"/>
      <c r="Y16" s="633"/>
      <c r="Z16" s="633"/>
      <c r="AA16" s="634"/>
      <c r="AB16" s="635"/>
      <c r="AC16" s="2395"/>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4" customFormat="1" customHeight="1" ht="22.5">
      <c r="A17" s="640"/>
      <c r="B17" s="424"/>
      <c r="C17" s="419"/>
      <c r="D17" s="2401"/>
      <c r="E17" s="2396" t="s">
        <v>639</v>
      </c>
      <c r="F17" s="2396"/>
      <c r="G17" s="2396"/>
      <c r="H17" s="2396"/>
      <c r="I17" s="2396"/>
      <c r="J17" s="2396"/>
      <c r="K17" s="2396"/>
      <c r="L17" s="2396"/>
      <c r="M17" s="2396"/>
      <c r="N17" s="2396"/>
      <c r="O17" s="2396"/>
      <c r="P17" s="2396"/>
      <c r="Q17" s="565">
        <f>SUMIF(T18:T19,"i",Q18:Q19)</f>
        <v>0</v>
      </c>
      <c r="R17" s="1024"/>
      <c r="S17" s="904" t="s">
        <v>640</v>
      </c>
      <c r="T17" s="724" t="s">
        <v>641</v>
      </c>
      <c r="U17" s="2394">
        <v>1</v>
      </c>
      <c r="V17" s="2394" t="str">
        <f>INDEX(B_FHD_FLAG_INDEX_1,1,MATCH(A14,B_FHD_FLAG_DIFFERENTIATION,0))</f>
        <v>отсутствует</v>
      </c>
      <c r="W17" s="424"/>
      <c r="X17" s="424"/>
      <c r="Y17" s="424"/>
      <c r="Z17" s="424"/>
      <c r="AA17" s="518"/>
      <c r="AB17" s="424"/>
      <c r="AC17" s="2395"/>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4" customFormat="1" customHeight="1" ht="11.25" hidden="1">
      <c r="A18" s="641"/>
      <c r="B18" s="518"/>
      <c r="C18" s="518"/>
      <c r="D18" s="2401"/>
      <c r="E18" s="642"/>
      <c r="F18" s="642">
        <v>0</v>
      </c>
      <c r="G18" s="642"/>
      <c r="H18" s="642"/>
      <c r="I18" s="642"/>
      <c r="J18" s="642"/>
      <c r="K18" s="642"/>
      <c r="L18" s="642"/>
      <c r="M18" s="642"/>
      <c r="N18" s="642"/>
      <c r="O18" s="642"/>
      <c r="P18" s="642"/>
      <c r="Q18" s="642"/>
      <c r="R18" s="642"/>
      <c r="S18" s="643"/>
      <c r="T18" s="725"/>
      <c r="U18" s="2394"/>
      <c r="V18" s="2394"/>
      <c r="W18" s="518"/>
      <c r="X18" s="518"/>
      <c r="Y18" s="518"/>
      <c r="Z18" s="518"/>
      <c r="AA18" s="518"/>
      <c r="AB18" s="424"/>
      <c r="AC18" s="2395"/>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4" customFormat="1" customHeight="1" ht="11.25">
      <c r="A19" s="640"/>
      <c r="B19" s="424"/>
      <c r="C19" s="419"/>
      <c r="D19" s="2401"/>
      <c r="E19" s="656" t="s">
        <v>22</v>
      </c>
      <c r="F19" s="657" t="s">
        <v>22</v>
      </c>
      <c r="G19" s="657" t="s">
        <v>22</v>
      </c>
      <c r="H19" s="658" t="s">
        <v>22</v>
      </c>
      <c r="I19" s="658"/>
      <c r="J19" s="658"/>
      <c r="K19" s="658"/>
      <c r="L19" s="658"/>
      <c r="M19" s="658"/>
      <c r="N19" s="658"/>
      <c r="O19" s="658"/>
      <c r="P19" s="658"/>
      <c r="Q19" s="658"/>
      <c r="R19" s="659"/>
      <c r="S19" s="1027"/>
      <c r="T19" s="725"/>
      <c r="U19" s="2394"/>
      <c r="V19" s="2394"/>
      <c r="W19" s="424"/>
      <c r="X19" s="424"/>
      <c r="Y19" s="424"/>
      <c r="Z19" s="424"/>
      <c r="AA19" s="518"/>
      <c r="AB19" s="424"/>
      <c r="AC19" s="2395"/>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4" customFormat="1" customHeight="1" ht="22.5">
      <c r="A20" s="640"/>
      <c r="B20" s="424"/>
      <c r="C20" s="419"/>
      <c r="D20" s="2401"/>
      <c r="E20" s="2396" t="s">
        <v>642</v>
      </c>
      <c r="F20" s="2396"/>
      <c r="G20" s="2396"/>
      <c r="H20" s="2396"/>
      <c r="I20" s="2396"/>
      <c r="J20" s="2396"/>
      <c r="K20" s="2396"/>
      <c r="L20" s="2396"/>
      <c r="M20" s="2396"/>
      <c r="N20" s="2396"/>
      <c r="O20" s="2396"/>
      <c r="P20" s="2396"/>
      <c r="Q20" s="565">
        <f>SUMIF(T21:T22,"i",Q21:Q22)</f>
        <v>0</v>
      </c>
      <c r="R20" s="1024"/>
      <c r="S20" s="716" t="s">
        <v>643</v>
      </c>
      <c r="T20" s="724" t="s">
        <v>641</v>
      </c>
      <c r="U20" s="2394">
        <v>2</v>
      </c>
      <c r="V20" s="2394"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4" customFormat="1" customHeight="1" ht="11.25" hidden="1">
      <c r="A21" s="715"/>
      <c r="B21" s="518"/>
      <c r="C21" s="518"/>
      <c r="D21" s="2401"/>
      <c r="E21" s="642"/>
      <c r="F21" s="642">
        <v>0</v>
      </c>
      <c r="G21" s="642"/>
      <c r="H21" s="642"/>
      <c r="I21" s="642"/>
      <c r="J21" s="642"/>
      <c r="K21" s="642"/>
      <c r="L21" s="642"/>
      <c r="M21" s="642"/>
      <c r="N21" s="642"/>
      <c r="O21" s="642"/>
      <c r="P21" s="642"/>
      <c r="Q21" s="642"/>
      <c r="R21" s="642"/>
      <c r="S21" s="643"/>
      <c r="T21" s="725"/>
      <c r="U21" s="2394"/>
      <c r="V21" s="2394"/>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4" customFormat="1" customHeight="1" ht="11.25">
      <c r="A22" s="640"/>
      <c r="B22" s="424"/>
      <c r="C22" s="419"/>
      <c r="D22" s="2402"/>
      <c r="E22" s="656" t="s">
        <v>22</v>
      </c>
      <c r="F22" s="657" t="s">
        <v>22</v>
      </c>
      <c r="G22" s="657" t="s">
        <v>22</v>
      </c>
      <c r="H22" s="658" t="s">
        <v>22</v>
      </c>
      <c r="I22" s="658"/>
      <c r="J22" s="658"/>
      <c r="K22" s="658"/>
      <c r="L22" s="658"/>
      <c r="M22" s="658"/>
      <c r="N22" s="658"/>
      <c r="O22" s="658"/>
      <c r="P22" s="658"/>
      <c r="Q22" s="658"/>
      <c r="R22" s="659"/>
      <c r="S22" s="1027"/>
      <c r="T22" s="725"/>
      <c r="U22" s="2394"/>
      <c r="V22" s="2394"/>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404"/>
      <c r="F27" s="2404"/>
      <c r="G27" s="2404"/>
      <c r="H27" s="2404"/>
      <c r="I27" s="2404"/>
      <c r="J27" s="2404"/>
      <c r="K27" s="2404"/>
      <c r="L27" s="2404"/>
      <c r="M27" s="2404"/>
      <c r="N27" s="2404"/>
      <c r="O27" s="2404"/>
      <c r="P27" s="2404"/>
      <c r="Q27" s="2404"/>
      <c r="R27" s="2404"/>
      <c r="CF27" s="512">
        <v>11</v>
      </c>
    </row>
    <row customHeight="1" ht="11.549999999999999">
      <c r="F28" s="765"/>
      <c r="G28" s="765"/>
      <c r="CF28" s="512">
        <v>11</v>
      </c>
    </row>
    <row customHeight="1" ht="11.25" hidden="1">
      <c r="A29" s="617" t="s">
        <v>81</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8C236-F5C6-574E-B612-0.9A3D17C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57" t="s">
        <v>644</v>
      </c>
      <c r="C2" s="2057" t="s">
        <v>645</v>
      </c>
      <c r="D2" s="2056" t="s">
        <v>646</v>
      </c>
      <c r="E2" s="2060">
        <f>RIGHT(I2,LEN(I2)-SEARCH("#",SUBSTITUTE(I2,".","#",LEN(I2)-LEN(SUBSTITUTE(I2,".","")))))</f>
      </c>
      <c r="F2" s="2062">
        <f>J2</f>
        <v>0</v>
      </c>
      <c r="G2" s="1643"/>
      <c r="H2" s="2063"/>
      <c r="I2" s="2053"/>
      <c r="J2" s="547"/>
      <c r="K2" s="2023" t="s">
        <v>555</v>
      </c>
      <c r="L2" s="758"/>
      <c r="M2" s="758"/>
      <c r="N2" s="550"/>
      <c r="O2" s="1532" t="s">
        <v>556</v>
      </c>
      <c r="P2" s="550"/>
      <c r="Q2" s="1643"/>
      <c r="R2" s="1643"/>
      <c r="W2" s="1643"/>
      <c r="Z2" s="551"/>
      <c r="AF2" s="1639"/>
      <c r="AG2" s="1639"/>
      <c r="AH2" s="1639"/>
      <c r="AI2" s="1639"/>
      <c r="AJ2" s="1639"/>
      <c r="AK2" s="1373">
        <v>0</v>
      </c>
    </row>
    <row customHeight="1" ht="11.25" hidden="1">
      <c r="E3" s="2055" t="s">
        <v>647</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27" t="s">
        <v>648</v>
      </c>
      <c r="J6" s="2327"/>
      <c r="K6" s="2327"/>
      <c r="L6" s="2327"/>
      <c r="M6" s="2327"/>
      <c r="O6" s="563"/>
      <c r="AK6" s="1638">
        <v>55</v>
      </c>
    </row>
    <row customHeight="1" ht="25.2">
      <c r="I7" s="2269" t="str">
        <f>IF(org=0,"Не определено",org)</f>
        <v>ИМУП «ПОСЖИЛКОМСЕРВИС»</v>
      </c>
      <c r="J7" s="2269"/>
      <c r="K7" s="2269"/>
      <c r="L7" s="2269"/>
      <c r="M7" s="2269"/>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117</v>
      </c>
      <c r="AK9" s="1643">
        <v>1</v>
      </c>
    </row>
    <row customHeight="1" ht="11.549999999999999">
      <c r="E10" s="2054" t="s">
        <v>649</v>
      </c>
      <c r="I10" s="718"/>
      <c r="J10" s="2387" t="s">
        <v>105</v>
      </c>
      <c r="K10" s="2388"/>
      <c r="L10" s="2033" t="str">
        <f>IF(L9="","",INDEX(DIFFERENTIATION_UNMERGE_VD,MATCH(L9,DIFFERENTIATION_ID_DIFF,0)))</f>
        <v/>
      </c>
      <c r="M10" s="2033" t="str">
        <f>IF(M9="","",INDEX(DIFFERENTIATION_UNMERGE_VD,MATCH(M9,DIFFERENTIATION_ID_DIFF,0)))</f>
        <v>Холодное водоснабжение. Питьевая вода</v>
      </c>
      <c r="O10" s="2147" t="s">
        <v>300</v>
      </c>
      <c r="AK10" s="1638">
        <v>11</v>
      </c>
    </row>
    <row customHeight="1" ht="11.549999999999999">
      <c r="E11" s="2054" t="s">
        <v>650</v>
      </c>
      <c r="I11" s="718"/>
      <c r="J11" s="2387" t="s">
        <v>563</v>
      </c>
      <c r="K11" s="2388"/>
      <c r="L11" s="2033" t="str">
        <f>IF(L9="","",INDEX(DIFFERENTIATION_UNMERGE_AREA,MATCH(L9,DIFFERENTIATION_ID_DIFF,0)))</f>
        <v/>
      </c>
      <c r="M11" s="2033" t="str">
        <f>IF(M9="","",INDEX(DIFFERENTIATION_UNMERGE_AREA,MATCH(M9,DIFFERENTIATION_ID_DIFF,0)))</f>
        <v>Территория 1</v>
      </c>
      <c r="O11" s="2147"/>
      <c r="AK11" s="1638">
        <v>11</v>
      </c>
    </row>
    <row customHeight="1" ht="11.549999999999999">
      <c r="E12" s="2054" t="s">
        <v>651</v>
      </c>
      <c r="I12" s="1669"/>
      <c r="J12" s="2387" t="s">
        <v>564</v>
      </c>
      <c r="K12" s="2388"/>
      <c r="L12" s="2033" t="str">
        <f>IF(L9="","",INDEX(DIFFERENTIATION_UNMERGE_SYSTEM,MATCH(L9,DIFFERENTIATION_ID_DIFF,0)))</f>
        <v/>
      </c>
      <c r="M12" s="2033" t="str">
        <f>IF(M9="","",INDEX(DIFFERENTIATION_UNMERGE_SYSTEM,MATCH(M9,DIFFERENTIATION_ID_DIFF,0)))</f>
        <v>без дифференциации</v>
      </c>
      <c r="O12" s="2147"/>
      <c r="AK12" s="1638">
        <v>11</v>
      </c>
    </row>
    <row customHeight="1" ht="11.549999999999999">
      <c r="E13" s="2054" t="s">
        <v>652</v>
      </c>
      <c r="F13" s="2054" t="s">
        <v>653</v>
      </c>
      <c r="I13" s="2389" t="s">
        <v>299</v>
      </c>
      <c r="J13" s="2390"/>
      <c r="K13" s="2390"/>
      <c r="L13" s="2031"/>
      <c r="M13" s="2071"/>
      <c r="O13" s="2147"/>
      <c r="AK13" s="1638">
        <v>11</v>
      </c>
    </row>
    <row customHeight="1" ht="24">
      <c r="I14" s="2024" t="s">
        <v>87</v>
      </c>
      <c r="J14" s="2024" t="s">
        <v>301</v>
      </c>
      <c r="K14" s="2024" t="s">
        <v>565</v>
      </c>
      <c r="L14" s="2064" t="s">
        <v>302</v>
      </c>
      <c r="M14" s="2065" t="s">
        <v>302</v>
      </c>
      <c r="O14" s="2147"/>
      <c r="AK14" s="1638">
        <v>23</v>
      </c>
    </row>
    <row customHeight="1" ht="24">
      <c r="A15" s="2058"/>
      <c r="B15" s="2057" t="s">
        <v>654</v>
      </c>
      <c r="C15" s="2057" t="s">
        <v>655</v>
      </c>
      <c r="D15" s="2056" t="s">
        <v>656</v>
      </c>
      <c r="E15" s="2060" t="s">
        <v>657</v>
      </c>
      <c r="F15" s="2060" t="s">
        <v>657</v>
      </c>
      <c r="G15" s="1643" t="s">
        <v>607</v>
      </c>
      <c r="H15" s="2025"/>
      <c r="I15" s="1637">
        <v>1</v>
      </c>
      <c r="J15" s="2026" t="s">
        <v>658</v>
      </c>
      <c r="K15" s="2024" t="s">
        <v>305</v>
      </c>
      <c r="L15" s="669"/>
      <c r="M15" s="825"/>
      <c r="N15" s="550" t="s">
        <v>659</v>
      </c>
      <c r="O15" s="1532" t="s">
        <v>660</v>
      </c>
      <c r="P15" s="550" t="s">
        <v>659</v>
      </c>
      <c r="AK15" s="1638">
        <v>23</v>
      </c>
    </row>
    <row customHeight="1" ht="35.699999999999996">
      <c r="A16" s="2058"/>
      <c r="B16" s="2057" t="s">
        <v>661</v>
      </c>
      <c r="C16" s="2057" t="s">
        <v>662</v>
      </c>
      <c r="D16" s="2056" t="s">
        <v>646</v>
      </c>
      <c r="E16" s="2060" t="s">
        <v>657</v>
      </c>
      <c r="F16" s="2060" t="s">
        <v>657</v>
      </c>
      <c r="H16" s="2025"/>
      <c r="I16" s="1636">
        <v>2</v>
      </c>
      <c r="J16" s="2067" t="s">
        <v>663</v>
      </c>
      <c r="K16" s="2066" t="s">
        <v>555</v>
      </c>
      <c r="L16" s="2072"/>
      <c r="M16" s="1682"/>
      <c r="N16" s="550" t="s">
        <v>659</v>
      </c>
      <c r="O16" s="1532" t="s">
        <v>664</v>
      </c>
      <c r="P16" s="550" t="s">
        <v>659</v>
      </c>
      <c r="AK16" s="1638">
        <v>34</v>
      </c>
    </row>
    <row s="1649" customFormat="1" customHeight="1" ht="17.25" hidden="1">
      <c r="A17" s="1174"/>
      <c r="B17" s="1174"/>
      <c r="C17" s="1174"/>
      <c r="D17" s="1174"/>
      <c r="E17" s="1174"/>
      <c r="H17" s="1331"/>
      <c r="I17" s="1020" t="s">
        <v>665</v>
      </c>
      <c r="J17" s="998"/>
      <c r="K17" s="1020"/>
      <c r="L17" s="999"/>
      <c r="M17" s="999"/>
      <c r="O17" s="1392"/>
      <c r="AK17" s="1643">
        <v>1</v>
      </c>
    </row>
    <row s="1373" customFormat="1" customHeight="1" ht="24">
      <c r="A18" s="994"/>
      <c r="B18" s="994"/>
      <c r="C18" s="994"/>
      <c r="D18" s="994"/>
      <c r="E18" s="994"/>
      <c r="G18" s="1643"/>
      <c r="H18" s="1640"/>
      <c r="I18" s="577"/>
      <c r="J18" s="578" t="s">
        <v>614</v>
      </c>
      <c r="K18" s="579"/>
      <c r="L18" s="2074"/>
      <c r="M18" s="580"/>
      <c r="N18" s="550"/>
      <c r="O18" s="1532" t="s">
        <v>615</v>
      </c>
      <c r="P18" s="550"/>
      <c r="Q18" s="1643"/>
      <c r="R18" s="1643"/>
      <c r="W18" s="1643"/>
      <c r="Z18" s="551"/>
      <c r="AF18" s="1639"/>
      <c r="AG18" s="1639"/>
      <c r="AH18" s="1639"/>
      <c r="AI18" s="1639"/>
      <c r="AJ18" s="1639"/>
      <c r="AK18" s="1373">
        <v>23</v>
      </c>
    </row>
    <row customHeight="1" ht="19.95">
      <c r="A19" s="2058"/>
      <c r="B19" s="2057" t="s">
        <v>666</v>
      </c>
      <c r="C19" s="2057" t="s">
        <v>667</v>
      </c>
      <c r="D19" s="2056" t="s">
        <v>646</v>
      </c>
      <c r="E19" s="2060" t="s">
        <v>657</v>
      </c>
      <c r="F19" s="2060" t="s">
        <v>657</v>
      </c>
      <c r="H19" s="2025"/>
      <c r="I19" s="1671">
        <v>3</v>
      </c>
      <c r="J19" s="2026" t="s">
        <v>667</v>
      </c>
      <c r="K19" s="2022" t="s">
        <v>555</v>
      </c>
      <c r="L19" s="734"/>
      <c r="M19" s="564"/>
      <c r="N19" s="550"/>
      <c r="O19" s="1532" t="s">
        <v>668</v>
      </c>
      <c r="P19" s="550"/>
      <c r="AK19" s="1638">
        <v>19</v>
      </c>
    </row>
    <row customHeight="1" ht="77.7">
      <c r="A20" s="2058"/>
      <c r="B20" s="2057" t="s">
        <v>669</v>
      </c>
      <c r="C20" s="2057" t="s">
        <v>670</v>
      </c>
      <c r="D20" s="2056" t="s">
        <v>646</v>
      </c>
      <c r="E20" s="2060" t="s">
        <v>657</v>
      </c>
      <c r="F20" s="2060" t="s">
        <v>657</v>
      </c>
      <c r="H20" s="2025"/>
      <c r="I20" s="1671">
        <v>4</v>
      </c>
      <c r="J20" s="2026" t="s">
        <v>671</v>
      </c>
      <c r="K20" s="2022" t="s">
        <v>611</v>
      </c>
      <c r="L20" s="734"/>
      <c r="M20" s="564"/>
      <c r="N20" s="550"/>
      <c r="O20" s="1532"/>
      <c r="P20" s="550"/>
      <c r="AK20" s="1638">
        <v>74</v>
      </c>
    </row>
    <row customHeight="1" ht="35.699999999999996">
      <c r="A21" s="2058"/>
      <c r="B21" s="2057" t="s">
        <v>672</v>
      </c>
      <c r="C21" s="2057" t="s">
        <v>673</v>
      </c>
      <c r="D21" s="2056" t="s">
        <v>646</v>
      </c>
      <c r="E21" s="2060" t="s">
        <v>657</v>
      </c>
      <c r="F21" s="2060" t="s">
        <v>657</v>
      </c>
      <c r="H21" s="2025"/>
      <c r="I21" s="1671">
        <v>5</v>
      </c>
      <c r="J21" s="2026" t="s">
        <v>674</v>
      </c>
      <c r="K21" s="2022" t="s">
        <v>611</v>
      </c>
      <c r="L21" s="734"/>
      <c r="M21" s="564"/>
      <c r="N21" s="550"/>
      <c r="O21" s="1532" t="s">
        <v>668</v>
      </c>
      <c r="P21" s="550"/>
      <c r="AK21" s="1638">
        <v>34</v>
      </c>
    </row>
    <row customHeight="1" ht="48.29999999999999">
      <c r="A22" s="2058"/>
      <c r="B22" s="2057" t="s">
        <v>675</v>
      </c>
      <c r="C22" s="2057" t="s">
        <v>676</v>
      </c>
      <c r="D22" s="2056" t="s">
        <v>646</v>
      </c>
      <c r="E22" s="2060" t="s">
        <v>657</v>
      </c>
      <c r="F22" s="2060" t="s">
        <v>657</v>
      </c>
      <c r="H22" s="2025"/>
      <c r="I22" s="1671">
        <v>6</v>
      </c>
      <c r="J22" s="2026" t="s">
        <v>677</v>
      </c>
      <c r="K22" s="2022" t="s">
        <v>611</v>
      </c>
      <c r="L22" s="734"/>
      <c r="M22" s="564"/>
      <c r="N22" s="550"/>
      <c r="O22" s="1532" t="s">
        <v>678</v>
      </c>
      <c r="P22" s="550"/>
      <c r="AK22" s="1638">
        <v>46</v>
      </c>
    </row>
    <row customHeight="1" ht="19.95">
      <c r="A23" s="2058"/>
      <c r="B23" s="2057" t="s">
        <v>679</v>
      </c>
      <c r="C23" s="2057" t="s">
        <v>680</v>
      </c>
      <c r="D23" s="2056" t="s">
        <v>646</v>
      </c>
      <c r="E23" s="2060" t="s">
        <v>657</v>
      </c>
      <c r="F23" s="2060" t="s">
        <v>657</v>
      </c>
      <c r="H23" s="2025"/>
      <c r="I23" s="1671" t="s">
        <v>681</v>
      </c>
      <c r="J23" s="1531" t="s">
        <v>682</v>
      </c>
      <c r="K23" s="2022" t="s">
        <v>611</v>
      </c>
      <c r="L23" s="734"/>
      <c r="M23" s="564"/>
      <c r="N23" s="550"/>
      <c r="O23" s="1532" t="s">
        <v>668</v>
      </c>
      <c r="P23" s="550"/>
      <c r="AK23" s="1638">
        <v>19</v>
      </c>
    </row>
    <row customHeight="1" ht="19.95">
      <c r="A24" s="2058"/>
      <c r="B24" s="2057" t="s">
        <v>683</v>
      </c>
      <c r="C24" s="2057" t="s">
        <v>684</v>
      </c>
      <c r="D24" s="2056" t="s">
        <v>646</v>
      </c>
      <c r="E24" s="2060" t="s">
        <v>657</v>
      </c>
      <c r="F24" s="2060" t="s">
        <v>657</v>
      </c>
      <c r="H24" s="2025"/>
      <c r="I24" s="1671" t="s">
        <v>685</v>
      </c>
      <c r="J24" s="1531" t="s">
        <v>686</v>
      </c>
      <c r="K24" s="2022" t="s">
        <v>611</v>
      </c>
      <c r="L24" s="734"/>
      <c r="M24" s="564"/>
      <c r="N24" s="550"/>
      <c r="O24" s="1532"/>
      <c r="P24" s="550"/>
      <c r="AK24" s="1638">
        <v>19</v>
      </c>
    </row>
    <row customHeight="1" ht="24">
      <c r="A25" s="2058"/>
      <c r="B25" s="2057" t="s">
        <v>687</v>
      </c>
      <c r="C25" s="2057" t="s">
        <v>688</v>
      </c>
      <c r="D25" s="2056" t="s">
        <v>646</v>
      </c>
      <c r="E25" s="2060" t="s">
        <v>657</v>
      </c>
      <c r="F25" s="2060" t="s">
        <v>657</v>
      </c>
      <c r="H25" s="2025"/>
      <c r="I25" s="1671" t="s">
        <v>689</v>
      </c>
      <c r="J25" s="1531" t="s">
        <v>690</v>
      </c>
      <c r="K25" s="2022" t="s">
        <v>611</v>
      </c>
      <c r="L25" s="734"/>
      <c r="M25" s="564"/>
      <c r="N25" s="550"/>
      <c r="O25" s="1532"/>
      <c r="P25" s="550"/>
      <c r="AK25" s="1638">
        <v>23</v>
      </c>
    </row>
    <row customHeight="1" ht="24">
      <c r="A26" s="2058"/>
      <c r="B26" s="2057" t="s">
        <v>691</v>
      </c>
      <c r="C26" s="2057" t="s">
        <v>692</v>
      </c>
      <c r="D26" s="2056" t="s">
        <v>646</v>
      </c>
      <c r="E26" s="2060" t="s">
        <v>657</v>
      </c>
      <c r="F26" s="2060" t="s">
        <v>657</v>
      </c>
      <c r="H26" s="2025"/>
      <c r="I26" s="1671">
        <v>7</v>
      </c>
      <c r="J26" s="2026" t="s">
        <v>692</v>
      </c>
      <c r="K26" s="2022" t="s">
        <v>693</v>
      </c>
      <c r="L26" s="734"/>
      <c r="M26" s="564"/>
      <c r="N26" s="550"/>
      <c r="O26" s="1532"/>
      <c r="P26" s="550"/>
      <c r="AK26" s="1638">
        <v>23</v>
      </c>
    </row>
    <row customHeight="1" ht="24">
      <c r="A27" s="2058"/>
      <c r="B27" s="2057" t="s">
        <v>694</v>
      </c>
      <c r="C27" s="2057" t="s">
        <v>695</v>
      </c>
      <c r="D27" s="2056" t="s">
        <v>646</v>
      </c>
      <c r="E27" s="2060" t="s">
        <v>657</v>
      </c>
      <c r="F27" s="2060" t="s">
        <v>657</v>
      </c>
      <c r="H27" s="2025"/>
      <c r="I27" s="1671">
        <v>8</v>
      </c>
      <c r="J27" s="2026" t="s">
        <v>695</v>
      </c>
      <c r="K27" s="2022" t="s">
        <v>616</v>
      </c>
      <c r="L27" s="734"/>
      <c r="M27" s="564"/>
      <c r="N27" s="550"/>
      <c r="O27" s="1532"/>
      <c r="P27" s="550"/>
      <c r="AK27" s="1638">
        <v>23</v>
      </c>
    </row>
    <row customHeight="1" ht="35.699999999999996">
      <c r="A28" s="2058"/>
      <c r="B28" s="2057" t="s">
        <v>696</v>
      </c>
      <c r="C28" s="2057" t="s">
        <v>697</v>
      </c>
      <c r="D28" s="2056" t="s">
        <v>646</v>
      </c>
      <c r="E28" s="2060" t="s">
        <v>657</v>
      </c>
      <c r="F28" s="2060" t="s">
        <v>657</v>
      </c>
      <c r="H28" s="2025"/>
      <c r="I28" s="1681">
        <v>9</v>
      </c>
      <c r="J28" s="2026" t="s">
        <v>698</v>
      </c>
      <c r="K28" s="2022" t="s">
        <v>559</v>
      </c>
      <c r="L28" s="734"/>
      <c r="M28" s="564"/>
      <c r="N28" s="550"/>
      <c r="O28" s="1532"/>
      <c r="P28" s="550"/>
      <c r="AK28" s="1638">
        <v>34</v>
      </c>
    </row>
    <row customHeight="1" ht="35.699999999999996">
      <c r="A29" s="2058"/>
      <c r="B29" s="2057" t="s">
        <v>699</v>
      </c>
      <c r="C29" s="2057" t="s">
        <v>700</v>
      </c>
      <c r="D29" s="2056" t="s">
        <v>646</v>
      </c>
      <c r="E29" s="2060" t="s">
        <v>657</v>
      </c>
      <c r="F29" s="2060" t="s">
        <v>657</v>
      </c>
      <c r="H29" s="2025"/>
      <c r="I29" s="1681">
        <v>10</v>
      </c>
      <c r="J29" s="2026" t="s">
        <v>701</v>
      </c>
      <c r="K29" s="2022" t="s">
        <v>559</v>
      </c>
      <c r="L29" s="734"/>
      <c r="M29" s="564"/>
      <c r="N29" s="550"/>
      <c r="O29" s="1532"/>
      <c r="P29" s="550"/>
      <c r="AK29" s="1638">
        <v>34</v>
      </c>
    </row>
    <row customHeight="1" ht="24">
      <c r="A30" s="2058"/>
      <c r="B30" s="2057" t="s">
        <v>702</v>
      </c>
      <c r="C30" s="2057" t="s">
        <v>703</v>
      </c>
      <c r="D30" s="2056" t="s">
        <v>646</v>
      </c>
      <c r="E30" s="2060" t="s">
        <v>657</v>
      </c>
      <c r="F30" s="2060" t="s">
        <v>657</v>
      </c>
      <c r="H30" s="2025"/>
      <c r="I30" s="1681">
        <v>11</v>
      </c>
      <c r="J30" s="2026" t="s">
        <v>703</v>
      </c>
      <c r="K30" s="2022" t="s">
        <v>617</v>
      </c>
      <c r="L30" s="2073"/>
      <c r="M30" s="1628"/>
      <c r="N30" s="550"/>
      <c r="O30" s="1532"/>
      <c r="P30" s="550"/>
      <c r="AK30" s="1638">
        <v>23</v>
      </c>
    </row>
    <row customHeight="1" ht="24">
      <c r="A31" s="2058"/>
      <c r="B31" s="2057" t="s">
        <v>704</v>
      </c>
      <c r="C31" s="2057" t="s">
        <v>705</v>
      </c>
      <c r="D31" s="2056" t="s">
        <v>646</v>
      </c>
      <c r="E31" s="2060" t="s">
        <v>657</v>
      </c>
      <c r="F31" s="2060" t="s">
        <v>657</v>
      </c>
      <c r="H31" s="2025"/>
      <c r="I31" s="1681">
        <v>12</v>
      </c>
      <c r="J31" s="2026" t="s">
        <v>705</v>
      </c>
      <c r="K31" s="2022" t="s">
        <v>617</v>
      </c>
      <c r="L31" s="2073"/>
      <c r="M31" s="1628"/>
      <c r="N31" s="550"/>
      <c r="O31" s="1532"/>
      <c r="P31" s="550"/>
      <c r="AK31" s="1638">
        <v>23</v>
      </c>
    </row>
    <row customHeight="1" ht="48.29999999999999">
      <c r="A32" s="2058"/>
      <c r="B32" s="2057" t="s">
        <v>706</v>
      </c>
      <c r="C32" s="2057" t="s">
        <v>707</v>
      </c>
      <c r="D32" s="2056" t="s">
        <v>646</v>
      </c>
      <c r="E32" s="2060" t="s">
        <v>657</v>
      </c>
      <c r="F32" s="2060" t="s">
        <v>657</v>
      </c>
      <c r="H32" s="2025"/>
      <c r="I32" s="1681">
        <v>13</v>
      </c>
      <c r="J32" s="2026" t="s">
        <v>708</v>
      </c>
      <c r="K32" s="2022" t="s">
        <v>629</v>
      </c>
      <c r="L32" s="734"/>
      <c r="M32" s="564"/>
      <c r="N32" s="550"/>
      <c r="O32" s="1532" t="s">
        <v>668</v>
      </c>
      <c r="P32" s="550"/>
      <c r="AK32" s="1638">
        <v>46</v>
      </c>
    </row>
    <row s="1373" customFormat="1" customHeight="1" ht="48.29999999999999">
      <c r="A33" s="2058"/>
      <c r="B33" s="2057" t="s">
        <v>709</v>
      </c>
      <c r="C33" s="2057" t="s">
        <v>710</v>
      </c>
      <c r="D33" s="2056" t="s">
        <v>646</v>
      </c>
      <c r="E33" s="2060" t="s">
        <v>657</v>
      </c>
      <c r="F33" s="2060" t="s">
        <v>657</v>
      </c>
      <c r="G33" s="1643"/>
      <c r="H33" s="2025"/>
      <c r="I33" s="1681">
        <v>14</v>
      </c>
      <c r="J33" s="2038" t="s">
        <v>711</v>
      </c>
      <c r="K33" s="2027" t="s">
        <v>712</v>
      </c>
      <c r="L33" s="734"/>
      <c r="M33" s="564"/>
      <c r="N33" s="550"/>
      <c r="O33" s="1532" t="s">
        <v>668</v>
      </c>
      <c r="P33" s="550"/>
      <c r="Q33" s="1643"/>
      <c r="R33" s="1643"/>
      <c r="W33" s="1643"/>
      <c r="Z33" s="551"/>
      <c r="AF33" s="1639"/>
      <c r="AG33" s="1639"/>
      <c r="AH33" s="1639"/>
      <c r="AI33" s="1639"/>
      <c r="AJ33" s="1639"/>
      <c r="AK33" s="1373">
        <v>46</v>
      </c>
    </row>
    <row customHeight="1" ht="108">
      <c r="A34" s="2058"/>
      <c r="B34" s="2057" t="s">
        <v>713</v>
      </c>
      <c r="C34" s="2057" t="s">
        <v>714</v>
      </c>
      <c r="D34" s="2056" t="s">
        <v>656</v>
      </c>
      <c r="E34" s="2060" t="s">
        <v>657</v>
      </c>
      <c r="F34" s="2060" t="s">
        <v>657</v>
      </c>
      <c r="G34" s="1643" t="s">
        <v>607</v>
      </c>
      <c r="H34" s="2025"/>
      <c r="I34" s="2036">
        <v>15</v>
      </c>
      <c r="J34" s="2037" t="s">
        <v>715</v>
      </c>
      <c r="K34" s="2022" t="s">
        <v>305</v>
      </c>
      <c r="L34" s="392"/>
      <c r="M34" s="1171"/>
      <c r="N34" s="550"/>
      <c r="O34" s="1532" t="s">
        <v>660</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81</v>
      </c>
      <c r="B204" s="994" t="s">
        <v>150</v>
      </c>
      <c r="C204" s="994" t="s">
        <v>150</v>
      </c>
      <c r="D204" s="994" t="s">
        <v>150</v>
      </c>
      <c r="E204" s="994" t="s">
        <v>150</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33471-9057-E57B-6921-0.9B0D680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17"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57" t="s">
        <v>716</v>
      </c>
      <c r="C2" s="2057" t="s">
        <v>717</v>
      </c>
      <c r="D2" s="2056" t="s">
        <v>656</v>
      </c>
      <c r="E2" s="2062">
        <f>I2-3</f>
        <v>-3</v>
      </c>
      <c r="F2" s="2062">
        <f>J2</f>
        <v>0</v>
      </c>
      <c r="H2" s="1736" t="s">
        <v>576</v>
      </c>
      <c r="I2" s="2028"/>
      <c r="J2" s="1688"/>
      <c r="K2" s="2022" t="s">
        <v>305</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68" t="s">
        <v>718</v>
      </c>
      <c r="J5" s="2268"/>
      <c r="K5" s="2268"/>
      <c r="L5" s="2268"/>
      <c r="M5" s="273"/>
      <c r="W5" s="1638">
        <v>48</v>
      </c>
    </row>
    <row customHeight="1" ht="18">
      <c r="H6" s="383"/>
      <c r="I6" s="2269" t="str">
        <f>IF(org=0,"Не определено",org)</f>
        <v>ИМУП «ПОСЖИЛКОМСЕРВИС»</v>
      </c>
      <c r="J6" s="2269"/>
      <c r="K6" s="2269"/>
      <c r="L6" s="2269"/>
      <c r="M6" s="273"/>
      <c r="W6" s="1638">
        <v>17</v>
      </c>
    </row>
    <row customHeight="1" ht="14.699999999999998">
      <c r="H7" s="383"/>
      <c r="I7" s="464"/>
      <c r="J7" s="470"/>
      <c r="K7" s="470"/>
      <c r="L7" s="759"/>
      <c r="M7" s="200"/>
      <c r="W7" s="1638">
        <v>14</v>
      </c>
    </row>
    <row customHeight="1" ht="14.699999999999998">
      <c r="H8" s="383"/>
      <c r="I8" s="2406" t="s">
        <v>299</v>
      </c>
      <c r="J8" s="2407"/>
      <c r="K8" s="2407"/>
      <c r="L8" s="2408"/>
      <c r="M8" s="2409" t="s">
        <v>300</v>
      </c>
      <c r="W8" s="1638">
        <v>14</v>
      </c>
    </row>
    <row customHeight="1" ht="35.699999999999996">
      <c r="E9" s="2055" t="s">
        <v>647</v>
      </c>
      <c r="F9" s="2055" t="s">
        <v>653</v>
      </c>
      <c r="H9" s="383"/>
      <c r="I9" s="2029" t="s">
        <v>87</v>
      </c>
      <c r="J9" s="2030" t="s">
        <v>301</v>
      </c>
      <c r="K9" s="2068" t="s">
        <v>565</v>
      </c>
      <c r="L9" s="2069" t="s">
        <v>302</v>
      </c>
      <c r="M9" s="2409"/>
      <c r="W9" s="1638">
        <v>34</v>
      </c>
    </row>
    <row customHeight="1" ht="35.699999999999996">
      <c r="B10" s="2057" t="s">
        <v>719</v>
      </c>
      <c r="C10" s="2057" t="s">
        <v>720</v>
      </c>
      <c r="D10" s="2056" t="s">
        <v>656</v>
      </c>
      <c r="E10" s="2060" t="s">
        <v>657</v>
      </c>
      <c r="F10" s="2060" t="s">
        <v>657</v>
      </c>
      <c r="H10" s="383"/>
      <c r="I10" s="2028" t="s">
        <v>109</v>
      </c>
      <c r="J10" s="1890" t="s">
        <v>721</v>
      </c>
      <c r="K10" s="2022" t="s">
        <v>305</v>
      </c>
      <c r="L10" s="825"/>
      <c r="M10" s="304" t="s">
        <v>722</v>
      </c>
      <c r="W10" s="1638">
        <v>34</v>
      </c>
    </row>
    <row customHeight="1" ht="50.25">
      <c r="B11" s="2057" t="s">
        <v>723</v>
      </c>
      <c r="C11" s="2057" t="s">
        <v>724</v>
      </c>
      <c r="D11" s="2056" t="s">
        <v>656</v>
      </c>
      <c r="E11" s="2060" t="s">
        <v>657</v>
      </c>
      <c r="F11" s="2060" t="s">
        <v>657</v>
      </c>
      <c r="H11" s="383"/>
      <c r="I11" s="2028" t="s">
        <v>110</v>
      </c>
      <c r="J11" s="1890" t="s">
        <v>725</v>
      </c>
      <c r="K11" s="2022" t="s">
        <v>305</v>
      </c>
      <c r="L11" s="825"/>
      <c r="M11" s="304" t="s">
        <v>722</v>
      </c>
      <c r="W11" s="1638">
        <v>48</v>
      </c>
    </row>
    <row customHeight="1" ht="48.29999999999999">
      <c r="B12" s="2057" t="s">
        <v>726</v>
      </c>
      <c r="C12" s="2057" t="s">
        <v>727</v>
      </c>
      <c r="D12" s="2056" t="s">
        <v>656</v>
      </c>
      <c r="E12" s="2060" t="s">
        <v>657</v>
      </c>
      <c r="F12" s="2060" t="s">
        <v>657</v>
      </c>
      <c r="H12" s="1694"/>
      <c r="I12" s="2028" t="s">
        <v>89</v>
      </c>
      <c r="J12" s="2035" t="s">
        <v>728</v>
      </c>
      <c r="K12" s="2022" t="s">
        <v>305</v>
      </c>
      <c r="L12" s="825"/>
      <c r="M12" s="304" t="s">
        <v>729</v>
      </c>
      <c r="N12" s="1631"/>
      <c r="P12" s="1638"/>
      <c r="W12" s="1638">
        <v>46</v>
      </c>
    </row>
    <row customHeight="1" ht="14.699999999999998">
      <c r="E13" s="350"/>
      <c r="H13" s="383"/>
      <c r="I13" s="354"/>
      <c r="J13" s="658" t="s">
        <v>730</v>
      </c>
      <c r="K13" s="578"/>
      <c r="L13" s="221"/>
      <c r="M13" s="304"/>
      <c r="W13" s="1638">
        <v>14</v>
      </c>
    </row>
    <row customHeight="1" ht="14.699999999999998">
      <c r="E14" s="350"/>
      <c r="H14" s="383"/>
      <c r="I14" s="1064"/>
      <c r="J14" s="1683"/>
      <c r="K14" s="1684"/>
      <c r="L14" s="1685"/>
      <c r="M14" s="2032"/>
      <c r="W14" s="1638">
        <v>14</v>
      </c>
    </row>
    <row customHeight="1" ht="14.699999999999998">
      <c r="I15" s="1687"/>
      <c r="J15" s="2405"/>
      <c r="K15" s="2405"/>
      <c r="L15" s="2405"/>
      <c r="M15" s="2405"/>
      <c r="W15" s="1638">
        <v>14</v>
      </c>
    </row>
    <row customHeight="1" ht="21" hidden="1">
      <c r="A16" s="2034" t="s">
        <v>81</v>
      </c>
      <c r="B16" s="1638">
        <v>9</v>
      </c>
      <c r="C16" s="1638">
        <v>9</v>
      </c>
      <c r="D16" s="1638">
        <v>9</v>
      </c>
      <c r="E16" s="2034" t="s">
        <v>149</v>
      </c>
      <c r="F16" s="2059" t="s">
        <v>149</v>
      </c>
      <c r="G16" s="2061"/>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9DE46-3D4C-BD25-BCAA-0.72509C13}"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551</v>
      </c>
      <c r="H2" s="548"/>
      <c r="I2" s="548"/>
      <c r="J2" s="549" t="s">
        <v>731</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27" t="s">
        <v>732</v>
      </c>
      <c r="F6" s="2327"/>
      <c r="G6" s="2327"/>
      <c r="H6" s="2327"/>
      <c r="I6" s="2327"/>
      <c r="J6" s="563"/>
      <c r="AF6" s="1638">
        <v>30</v>
      </c>
    </row>
    <row customHeight="1" ht="11.549999999999999">
      <c r="E7" s="2269" t="str">
        <f>IF(org=0,"Не определено",org)</f>
        <v>ИМУП «ПОСЖИЛКОМСЕРВИС»</v>
      </c>
      <c r="F7" s="2269"/>
      <c r="G7" s="2269"/>
      <c r="H7" s="2269"/>
      <c r="I7" s="2269"/>
      <c r="AF7" s="1638">
        <v>11</v>
      </c>
    </row>
    <row customHeight="1" ht="11.549999999999999">
      <c r="E8" s="1142"/>
      <c r="F8" s="1142"/>
      <c r="G8" s="1142"/>
      <c r="H8" s="1142"/>
      <c r="I8" s="1142"/>
      <c r="AF8" s="1638">
        <v>11</v>
      </c>
    </row>
    <row s="1649" customFormat="1" customHeight="1" ht="4.2">
      <c r="A9" s="1174"/>
      <c r="D9" s="1649"/>
      <c r="H9" s="896"/>
      <c r="I9" s="896" t="s">
        <v>117</v>
      </c>
      <c r="AF9" s="1643">
        <v>4</v>
      </c>
    </row>
    <row customHeight="1" ht="11.549999999999999">
      <c r="E10" s="718"/>
      <c r="F10" s="2387" t="s">
        <v>105</v>
      </c>
      <c r="G10" s="2388"/>
      <c r="H10" s="1559" t="str">
        <f>IF(H9="","",INDEX(DIFFERENTIATION_UNMERGE_VD,MATCH(H9,DIFFERENTIATION_ID_DIFF,0)))</f>
        <v/>
      </c>
      <c r="I10" s="1559" t="str">
        <f>IF(I9="","",INDEX(DIFFERENTIATION_UNMERGE_VD,MATCH(I9,DIFFERENTIATION_ID_DIFF,0)))</f>
        <v>Холодное водоснабжение. Питьевая вода</v>
      </c>
      <c r="J10" s="2147" t="s">
        <v>300</v>
      </c>
      <c r="AF10" s="1638">
        <v>11</v>
      </c>
    </row>
    <row customHeight="1" ht="11.549999999999999">
      <c r="E11" s="718"/>
      <c r="F11" s="2387" t="s">
        <v>563</v>
      </c>
      <c r="G11" s="2388"/>
      <c r="H11" s="1559" t="str">
        <f>IF(H9="","",INDEX(DIFFERENTIATION_UNMERGE_AREA,MATCH(H9,DIFFERENTIATION_ID_DIFF,0)))</f>
        <v/>
      </c>
      <c r="I11" s="1559" t="str">
        <f>IF(I9="","",INDEX(DIFFERENTIATION_UNMERGE_AREA,MATCH(I9,DIFFERENTIATION_ID_DIFF,0)))</f>
        <v>Территория 1</v>
      </c>
      <c r="J11" s="2147"/>
      <c r="AF11" s="1638">
        <v>11</v>
      </c>
    </row>
    <row customHeight="1" ht="1.05">
      <c r="E12" s="1669"/>
      <c r="F12" s="2410" t="s">
        <v>564</v>
      </c>
      <c r="G12" s="2411"/>
      <c r="H12" s="1670" t="str">
        <f>IF(H9="","",INDEX(DIFFERENTIATION_UNMERGE_SYSTEM,MATCH(H9,DIFFERENTIATION_ID_DIFF,0)))</f>
        <v/>
      </c>
      <c r="I12" s="1670" t="str">
        <f>IF(I9="","",INDEX(DIFFERENTIATION_UNMERGE_SYSTEM,MATCH(I9,DIFFERENTIATION_ID_DIFF,0)))</f>
        <v>без дифференциации</v>
      </c>
      <c r="J12" s="2147"/>
      <c r="AF12" s="1638">
        <v>1</v>
      </c>
    </row>
    <row customHeight="1" ht="11.549999999999999">
      <c r="E13" s="2389" t="s">
        <v>299</v>
      </c>
      <c r="F13" s="2390"/>
      <c r="G13" s="2390"/>
      <c r="H13" s="1558"/>
      <c r="I13" s="1558"/>
      <c r="J13" s="2147"/>
      <c r="AF13" s="1638">
        <v>11</v>
      </c>
    </row>
    <row customHeight="1" ht="24">
      <c r="E14" s="1646" t="s">
        <v>87</v>
      </c>
      <c r="F14" s="1641" t="s">
        <v>301</v>
      </c>
      <c r="G14" s="1641" t="s">
        <v>565</v>
      </c>
      <c r="H14" s="1641" t="s">
        <v>302</v>
      </c>
      <c r="I14" s="1641" t="s">
        <v>302</v>
      </c>
      <c r="J14" s="2147"/>
      <c r="AF14" s="1638">
        <v>23</v>
      </c>
    </row>
    <row customHeight="1" ht="19.95">
      <c r="D15" s="1645"/>
      <c r="E15" s="1637" t="s">
        <v>109</v>
      </c>
      <c r="F15" s="714" t="s">
        <v>733</v>
      </c>
      <c r="G15" s="1653" t="s">
        <v>551</v>
      </c>
      <c r="H15" s="564"/>
      <c r="I15" s="564"/>
      <c r="J15" s="296" t="s">
        <v>734</v>
      </c>
      <c r="K15" s="550" t="s">
        <v>659</v>
      </c>
      <c r="AF15" s="1638">
        <v>19</v>
      </c>
    </row>
    <row customHeight="1" ht="35.699999999999996">
      <c r="D16" s="1645"/>
      <c r="E16" s="1637" t="s">
        <v>110</v>
      </c>
      <c r="F16" s="714" t="s">
        <v>735</v>
      </c>
      <c r="G16" s="1653" t="s">
        <v>551</v>
      </c>
      <c r="H16" s="565">
        <f>SUM(H17,H20,H23,H26,H29:H32,H35)</f>
        <v>0</v>
      </c>
      <c r="I16" s="565">
        <f>SUM(I17,I20,I23,I26,I29:I32,I35)</f>
        <v>0</v>
      </c>
      <c r="J16" s="296" t="s">
        <v>736</v>
      </c>
      <c r="K16" s="550" t="s">
        <v>659</v>
      </c>
      <c r="AF16" s="1638">
        <v>34</v>
      </c>
    </row>
    <row customHeight="1" ht="19.95">
      <c r="D17" s="1645"/>
      <c r="E17" s="1671" t="s">
        <v>737</v>
      </c>
      <c r="F17" s="961" t="s">
        <v>738</v>
      </c>
      <c r="G17" s="1650" t="s">
        <v>551</v>
      </c>
      <c r="H17" s="564"/>
      <c r="I17" s="564"/>
      <c r="J17" s="296" t="s">
        <v>739</v>
      </c>
      <c r="K17" s="550"/>
      <c r="AF17" s="1638">
        <v>19</v>
      </c>
    </row>
    <row customHeight="1" ht="24">
      <c r="D18" s="1645"/>
      <c r="E18" s="1671" t="s">
        <v>740</v>
      </c>
      <c r="F18" s="1657" t="s">
        <v>741</v>
      </c>
      <c r="G18" s="1650" t="s">
        <v>551</v>
      </c>
      <c r="H18" s="564"/>
      <c r="I18" s="564"/>
      <c r="J18" s="296" t="s">
        <v>742</v>
      </c>
      <c r="K18" s="550"/>
      <c r="AF18" s="1638">
        <v>23</v>
      </c>
    </row>
    <row customHeight="1" ht="35.699999999999996">
      <c r="D19" s="1645"/>
      <c r="E19" s="1671" t="s">
        <v>743</v>
      </c>
      <c r="F19" s="1657" t="s">
        <v>744</v>
      </c>
      <c r="G19" s="1650" t="s">
        <v>551</v>
      </c>
      <c r="H19" s="564"/>
      <c r="I19" s="564"/>
      <c r="J19" s="296"/>
      <c r="K19" s="550"/>
      <c r="AF19" s="1638">
        <v>34</v>
      </c>
    </row>
    <row customHeight="1" ht="19.95">
      <c r="D20" s="1645"/>
      <c r="E20" s="1671" t="s">
        <v>306</v>
      </c>
      <c r="F20" s="961" t="s">
        <v>745</v>
      </c>
      <c r="G20" s="1650" t="s">
        <v>551</v>
      </c>
      <c r="H20" s="564"/>
      <c r="I20" s="564"/>
      <c r="J20" s="296" t="s">
        <v>746</v>
      </c>
      <c r="K20" s="550"/>
      <c r="AF20" s="1638">
        <v>19</v>
      </c>
    </row>
    <row customHeight="1" ht="19.95">
      <c r="D21" s="1645"/>
      <c r="E21" s="1671" t="s">
        <v>747</v>
      </c>
      <c r="F21" s="1657" t="s">
        <v>748</v>
      </c>
      <c r="G21" s="1650" t="s">
        <v>551</v>
      </c>
      <c r="H21" s="564"/>
      <c r="I21" s="564"/>
      <c r="J21" s="296"/>
      <c r="K21" s="550"/>
      <c r="AF21" s="1638">
        <v>19</v>
      </c>
    </row>
    <row customHeight="1" ht="19.95">
      <c r="D22" s="1645"/>
      <c r="E22" s="1671" t="s">
        <v>749</v>
      </c>
      <c r="F22" s="1657" t="s">
        <v>750</v>
      </c>
      <c r="G22" s="1650" t="s">
        <v>551</v>
      </c>
      <c r="H22" s="564"/>
      <c r="I22" s="564"/>
      <c r="J22" s="296"/>
      <c r="K22" s="550"/>
      <c r="AF22" s="1638">
        <v>19</v>
      </c>
    </row>
    <row customHeight="1" ht="24">
      <c r="D23" s="1645"/>
      <c r="E23" s="1671" t="s">
        <v>309</v>
      </c>
      <c r="F23" s="961" t="s">
        <v>751</v>
      </c>
      <c r="G23" s="1650" t="s">
        <v>551</v>
      </c>
      <c r="H23" s="564"/>
      <c r="I23" s="564"/>
      <c r="J23" s="296" t="s">
        <v>752</v>
      </c>
      <c r="K23" s="550"/>
      <c r="AF23" s="1638">
        <v>23</v>
      </c>
    </row>
    <row customHeight="1" ht="19.95">
      <c r="D24" s="1645"/>
      <c r="E24" s="1671" t="s">
        <v>753</v>
      </c>
      <c r="F24" s="1657" t="s">
        <v>754</v>
      </c>
      <c r="G24" s="1650" t="s">
        <v>551</v>
      </c>
      <c r="H24" s="564"/>
      <c r="I24" s="564"/>
      <c r="J24" s="296"/>
      <c r="K24" s="550"/>
      <c r="AF24" s="1638">
        <v>19</v>
      </c>
    </row>
    <row customHeight="1" ht="35.699999999999996">
      <c r="D25" s="1645"/>
      <c r="E25" s="1671" t="s">
        <v>755</v>
      </c>
      <c r="F25" s="1657" t="s">
        <v>756</v>
      </c>
      <c r="G25" s="1650" t="s">
        <v>551</v>
      </c>
      <c r="H25" s="564"/>
      <c r="I25" s="564"/>
      <c r="J25" s="296"/>
      <c r="K25" s="550"/>
      <c r="AF25" s="1638">
        <v>34</v>
      </c>
    </row>
    <row customHeight="1" ht="24">
      <c r="D26" s="1645"/>
      <c r="E26" s="1671" t="s">
        <v>757</v>
      </c>
      <c r="F26" s="961" t="s">
        <v>758</v>
      </c>
      <c r="G26" s="1650" t="s">
        <v>551</v>
      </c>
      <c r="H26" s="564"/>
      <c r="I26" s="564"/>
      <c r="J26" s="296" t="s">
        <v>759</v>
      </c>
      <c r="K26" s="550"/>
      <c r="AF26" s="1638">
        <v>23</v>
      </c>
    </row>
    <row customHeight="1" ht="19.95">
      <c r="D27" s="1645"/>
      <c r="E27" s="1681" t="s">
        <v>760</v>
      </c>
      <c r="F27" s="1657" t="s">
        <v>761</v>
      </c>
      <c r="G27" s="1661" t="s">
        <v>551</v>
      </c>
      <c r="H27" s="1682"/>
      <c r="I27" s="1682"/>
      <c r="J27" s="296"/>
      <c r="K27" s="550"/>
      <c r="AF27" s="1638">
        <v>19</v>
      </c>
    </row>
    <row customHeight="1" ht="19.95">
      <c r="D28" s="1645"/>
      <c r="E28" s="1681" t="s">
        <v>762</v>
      </c>
      <c r="F28" s="1657" t="s">
        <v>763</v>
      </c>
      <c r="G28" s="1661" t="s">
        <v>551</v>
      </c>
      <c r="H28" s="1682"/>
      <c r="I28" s="1682"/>
      <c r="J28" s="296"/>
      <c r="K28" s="550"/>
      <c r="AF28" s="1638">
        <v>19</v>
      </c>
    </row>
    <row customHeight="1" ht="19.95">
      <c r="D29" s="1645"/>
      <c r="E29" s="1681" t="s">
        <v>764</v>
      </c>
      <c r="F29" s="961" t="s">
        <v>765</v>
      </c>
      <c r="G29" s="1661" t="s">
        <v>551</v>
      </c>
      <c r="H29" s="1682"/>
      <c r="I29" s="1682"/>
      <c r="J29" s="296"/>
      <c r="K29" s="550"/>
      <c r="AF29" s="1638">
        <v>19</v>
      </c>
    </row>
    <row customHeight="1" ht="19.95">
      <c r="D30" s="1645"/>
      <c r="E30" s="1681" t="s">
        <v>766</v>
      </c>
      <c r="F30" s="961" t="s">
        <v>767</v>
      </c>
      <c r="G30" s="1661" t="s">
        <v>551</v>
      </c>
      <c r="H30" s="1682"/>
      <c r="I30" s="1682"/>
      <c r="J30" s="296"/>
      <c r="K30" s="550"/>
      <c r="AF30" s="1638">
        <v>19</v>
      </c>
    </row>
    <row customHeight="1" ht="19.95">
      <c r="D31" s="1645"/>
      <c r="E31" s="1681" t="s">
        <v>768</v>
      </c>
      <c r="F31" s="961" t="s">
        <v>769</v>
      </c>
      <c r="G31" s="1661" t="s">
        <v>551</v>
      </c>
      <c r="H31" s="1682"/>
      <c r="I31" s="1682"/>
      <c r="J31" s="296"/>
      <c r="K31" s="550"/>
      <c r="AF31" s="1638">
        <v>19</v>
      </c>
    </row>
    <row s="1373" customFormat="1" customHeight="1" ht="35.699999999999996">
      <c r="A32" s="994"/>
      <c r="C32" s="1643"/>
      <c r="D32" s="1645"/>
      <c r="E32" s="1681" t="s">
        <v>770</v>
      </c>
      <c r="F32" s="961" t="s">
        <v>771</v>
      </c>
      <c r="G32" s="1651" t="s">
        <v>551</v>
      </c>
      <c r="H32" s="586">
        <f>SUM(H33:H34)</f>
        <v>0</v>
      </c>
      <c r="I32" s="586">
        <f>SUM(I33:I34)</f>
        <v>0</v>
      </c>
      <c r="J32" s="296" t="s">
        <v>772</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2" t="s">
        <v>604</v>
      </c>
      <c r="G34" s="579"/>
      <c r="H34" s="580"/>
      <c r="I34" s="580"/>
      <c r="J34" s="308" t="s">
        <v>773</v>
      </c>
      <c r="K34" s="550"/>
      <c r="L34" s="1643"/>
      <c r="M34" s="1643"/>
      <c r="R34" s="1643"/>
      <c r="U34" s="551"/>
      <c r="AA34" s="1639"/>
      <c r="AB34" s="1639"/>
      <c r="AC34" s="1639"/>
      <c r="AD34" s="1639"/>
      <c r="AE34" s="1639"/>
      <c r="AF34" s="1167">
        <v>19</v>
      </c>
    </row>
    <row customHeight="1" ht="60">
      <c r="D35" s="1645"/>
      <c r="E35" s="1681" t="s">
        <v>774</v>
      </c>
      <c r="F35" s="961" t="s">
        <v>775</v>
      </c>
      <c r="G35" s="1661" t="s">
        <v>551</v>
      </c>
      <c r="H35" s="1682"/>
      <c r="I35" s="1682"/>
      <c r="J35" s="296" t="s">
        <v>776</v>
      </c>
      <c r="K35" s="550"/>
      <c r="AF35" s="1638">
        <v>57</v>
      </c>
    </row>
    <row customHeight="1" ht="19.95">
      <c r="B36" s="1373"/>
      <c r="D36" s="2082"/>
      <c r="E36" s="1681" t="s">
        <v>777</v>
      </c>
      <c r="F36" s="2086" t="s">
        <v>778</v>
      </c>
      <c r="G36" s="2081" t="s">
        <v>551</v>
      </c>
      <c r="H36" s="2087"/>
      <c r="I36" s="2087"/>
      <c r="J36" s="2088" t="s">
        <v>779</v>
      </c>
      <c r="K36" s="550"/>
      <c r="N36" s="1373"/>
      <c r="O36" s="1373"/>
      <c r="P36" s="1373"/>
      <c r="Q36" s="1373"/>
      <c r="S36" s="1373"/>
      <c r="T36" s="1373"/>
      <c r="V36" s="1373"/>
      <c r="W36" s="1373"/>
      <c r="X36" s="1373"/>
      <c r="Y36" s="1373"/>
      <c r="Z36" s="1373"/>
      <c r="AF36" s="1638">
        <v>19</v>
      </c>
    </row>
    <row customHeight="1" ht="19.95">
      <c r="B37" s="1373"/>
      <c r="D37" s="2082"/>
      <c r="E37" s="1681" t="s">
        <v>780</v>
      </c>
      <c r="F37" s="2086" t="s">
        <v>781</v>
      </c>
      <c r="G37" s="2081" t="s">
        <v>551</v>
      </c>
      <c r="H37" s="2087"/>
      <c r="I37" s="2087"/>
      <c r="J37" s="2088" t="s">
        <v>782</v>
      </c>
      <c r="K37" s="550"/>
      <c r="N37" s="1373"/>
      <c r="O37" s="1373"/>
      <c r="P37" s="1373"/>
      <c r="Q37" s="1373"/>
      <c r="S37" s="1373"/>
      <c r="T37" s="1373"/>
      <c r="V37" s="1373"/>
      <c r="W37" s="1373"/>
      <c r="X37" s="1373"/>
      <c r="Y37" s="1373"/>
      <c r="Z37" s="1373"/>
      <c r="AF37" s="1638">
        <v>19</v>
      </c>
    </row>
    <row s="1373" customFormat="1" customHeight="1" ht="24">
      <c r="A38" s="996" t="s">
        <v>605</v>
      </c>
      <c r="C38" s="1643"/>
      <c r="D38" s="1645"/>
      <c r="E38" s="1671" t="s">
        <v>89</v>
      </c>
      <c r="F38" s="714" t="s">
        <v>783</v>
      </c>
      <c r="G38" s="1650" t="s">
        <v>551</v>
      </c>
      <c r="H38" s="564"/>
      <c r="I38" s="564"/>
      <c r="J38" s="296" t="s">
        <v>784</v>
      </c>
      <c r="K38" s="550"/>
      <c r="L38" s="1643"/>
      <c r="M38" s="1643"/>
      <c r="R38" s="1643"/>
      <c r="U38" s="551"/>
      <c r="AA38" s="1639"/>
      <c r="AB38" s="1639"/>
      <c r="AC38" s="1639"/>
      <c r="AD38" s="1639"/>
      <c r="AE38" s="1639"/>
      <c r="AF38" s="1167">
        <v>23</v>
      </c>
    </row>
    <row s="1373" customFormat="1" customHeight="1" ht="35.699999999999996">
      <c r="A39" s="996"/>
      <c r="C39" s="1643"/>
      <c r="D39" s="1645"/>
      <c r="E39" s="1671" t="s">
        <v>323</v>
      </c>
      <c r="F39" s="961" t="s">
        <v>785</v>
      </c>
      <c r="G39" s="1661"/>
      <c r="H39" s="564"/>
      <c r="I39" s="564"/>
      <c r="J39" s="296"/>
      <c r="K39" s="550"/>
      <c r="L39" s="1643"/>
      <c r="M39" s="1643"/>
      <c r="R39" s="1643"/>
      <c r="U39" s="551"/>
      <c r="AA39" s="1639"/>
      <c r="AB39" s="1639"/>
      <c r="AC39" s="1639"/>
      <c r="AD39" s="1639"/>
      <c r="AE39" s="1639"/>
      <c r="AF39" s="1167">
        <v>34</v>
      </c>
    </row>
    <row s="1373" customFormat="1" customHeight="1" ht="19.95">
      <c r="A40" s="994"/>
      <c r="C40" s="1643"/>
      <c r="D40" s="582"/>
      <c r="E40" s="1671" t="s">
        <v>90</v>
      </c>
      <c r="F40" s="714" t="s">
        <v>786</v>
      </c>
      <c r="G40" s="1650" t="s">
        <v>551</v>
      </c>
      <c r="H40" s="564"/>
      <c r="I40" s="564"/>
      <c r="J40" s="296" t="s">
        <v>787</v>
      </c>
      <c r="K40" s="550"/>
      <c r="L40" s="1643"/>
      <c r="M40" s="1643"/>
      <c r="R40" s="1643"/>
      <c r="U40" s="551"/>
      <c r="AA40" s="1639"/>
      <c r="AB40" s="1639"/>
      <c r="AC40" s="1639"/>
      <c r="AD40" s="1639"/>
      <c r="AE40" s="1639"/>
      <c r="AF40" s="1167">
        <v>19</v>
      </c>
    </row>
    <row s="1373" customFormat="1" customHeight="1" ht="24">
      <c r="A41" s="994"/>
      <c r="C41" s="1643"/>
      <c r="D41" s="582"/>
      <c r="E41" s="1671" t="s">
        <v>788</v>
      </c>
      <c r="F41" s="961" t="s">
        <v>789</v>
      </c>
      <c r="G41" s="1661" t="s">
        <v>551</v>
      </c>
      <c r="H41" s="564"/>
      <c r="I41" s="564"/>
      <c r="J41" s="296" t="s">
        <v>790</v>
      </c>
      <c r="K41" s="550"/>
      <c r="L41" s="1643"/>
      <c r="M41" s="1643"/>
      <c r="R41" s="1643"/>
      <c r="U41" s="551"/>
      <c r="AA41" s="1639"/>
      <c r="AB41" s="1639"/>
      <c r="AC41" s="1639"/>
      <c r="AD41" s="1639"/>
      <c r="AE41" s="1639"/>
      <c r="AF41" s="1167">
        <v>23</v>
      </c>
    </row>
    <row s="1373" customFormat="1" customHeight="1" ht="24">
      <c r="A42" s="994"/>
      <c r="C42" s="1643"/>
      <c r="D42" s="1645"/>
      <c r="E42" s="1671" t="s">
        <v>791</v>
      </c>
      <c r="F42" s="1657" t="s">
        <v>792</v>
      </c>
      <c r="G42" s="1650" t="s">
        <v>551</v>
      </c>
      <c r="H42" s="564"/>
      <c r="I42" s="564"/>
      <c r="J42" s="296" t="s">
        <v>793</v>
      </c>
      <c r="K42" s="550"/>
      <c r="L42" s="1643"/>
      <c r="M42" s="1643"/>
      <c r="R42" s="1643"/>
      <c r="U42" s="551"/>
      <c r="AA42" s="1639"/>
      <c r="AB42" s="1639"/>
      <c r="AC42" s="1639"/>
      <c r="AD42" s="1639"/>
      <c r="AE42" s="1639"/>
      <c r="AF42" s="1167">
        <v>23</v>
      </c>
    </row>
    <row s="1373" customFormat="1" customHeight="1" ht="24">
      <c r="A43" s="994"/>
      <c r="C43" s="1643"/>
      <c r="D43" s="1645"/>
      <c r="E43" s="1671" t="s">
        <v>794</v>
      </c>
      <c r="F43" s="1657" t="s">
        <v>795</v>
      </c>
      <c r="G43" s="1650" t="s">
        <v>551</v>
      </c>
      <c r="H43" s="564"/>
      <c r="I43" s="564"/>
      <c r="J43" s="296" t="s">
        <v>796</v>
      </c>
      <c r="K43" s="550"/>
      <c r="L43" s="1643"/>
      <c r="M43" s="1643"/>
      <c r="R43" s="1643"/>
      <c r="U43" s="551"/>
      <c r="AA43" s="1639"/>
      <c r="AB43" s="1639"/>
      <c r="AC43" s="1639"/>
      <c r="AD43" s="1639"/>
      <c r="AE43" s="1639"/>
      <c r="AF43" s="1167">
        <v>23</v>
      </c>
    </row>
    <row s="1373" customFormat="1" customHeight="1" ht="24">
      <c r="A44" s="994"/>
      <c r="C44" s="1643"/>
      <c r="D44" s="1645"/>
      <c r="E44" s="1671" t="s">
        <v>797</v>
      </c>
      <c r="F44" s="1657" t="s">
        <v>798</v>
      </c>
      <c r="G44" s="1650" t="s">
        <v>551</v>
      </c>
      <c r="H44" s="564"/>
      <c r="I44" s="564"/>
      <c r="J44" s="296" t="s">
        <v>799</v>
      </c>
      <c r="K44" s="550"/>
      <c r="L44" s="1643"/>
      <c r="M44" s="1643"/>
      <c r="R44" s="1643"/>
      <c r="U44" s="551"/>
      <c r="AA44" s="1639"/>
      <c r="AB44" s="1639"/>
      <c r="AC44" s="1639"/>
      <c r="AD44" s="1639"/>
      <c r="AE44" s="1639"/>
      <c r="AF44" s="1167">
        <v>23</v>
      </c>
    </row>
    <row s="1373" customFormat="1" customHeight="1" ht="35.699999999999996">
      <c r="A45" s="994"/>
      <c r="C45" s="1643" t="s">
        <v>607</v>
      </c>
      <c r="D45" s="1645"/>
      <c r="E45" s="1671" t="s">
        <v>111</v>
      </c>
      <c r="F45" s="714" t="s">
        <v>658</v>
      </c>
      <c r="G45" s="1653" t="s">
        <v>800</v>
      </c>
      <c r="H45" s="408"/>
      <c r="I45" s="408"/>
      <c r="J45" s="296" t="s">
        <v>801</v>
      </c>
      <c r="K45" s="550"/>
      <c r="L45" s="1643"/>
      <c r="M45" s="1643"/>
      <c r="R45" s="1643"/>
      <c r="U45" s="551"/>
      <c r="AA45" s="1639"/>
      <c r="AB45" s="1639"/>
      <c r="AC45" s="1639"/>
      <c r="AD45" s="1639"/>
      <c r="AE45" s="1639"/>
      <c r="AF45" s="1167">
        <v>34</v>
      </c>
    </row>
    <row s="1373" customFormat="1" customHeight="1" ht="35.699999999999996">
      <c r="A46" s="994"/>
      <c r="C46" s="1643"/>
      <c r="D46" s="1645"/>
      <c r="E46" s="1671" t="s">
        <v>91</v>
      </c>
      <c r="F46" s="714" t="s">
        <v>802</v>
      </c>
      <c r="G46" s="1650" t="s">
        <v>803</v>
      </c>
      <c r="H46" s="552"/>
      <c r="I46" s="552"/>
      <c r="J46" s="296" t="s">
        <v>804</v>
      </c>
      <c r="K46" s="550"/>
      <c r="L46" s="1643"/>
      <c r="M46" s="1643"/>
      <c r="R46" s="1643"/>
      <c r="U46" s="551"/>
      <c r="AA46" s="1639"/>
      <c r="AB46" s="1639"/>
      <c r="AC46" s="1639"/>
      <c r="AD46" s="1639"/>
      <c r="AE46" s="1639"/>
      <c r="AF46" s="1167">
        <v>34</v>
      </c>
    </row>
    <row s="1373" customFormat="1" customHeight="1" ht="24">
      <c r="A47" s="994"/>
      <c r="C47" s="1643"/>
      <c r="D47" s="1645"/>
      <c r="E47" s="1671" t="s">
        <v>92</v>
      </c>
      <c r="F47" s="714" t="s">
        <v>805</v>
      </c>
      <c r="G47" s="1661" t="s">
        <v>806</v>
      </c>
      <c r="H47" s="552"/>
      <c r="I47" s="552"/>
      <c r="J47" s="296" t="s">
        <v>807</v>
      </c>
      <c r="K47" s="550"/>
      <c r="L47" s="1643"/>
      <c r="M47" s="1643"/>
      <c r="R47" s="1643"/>
      <c r="U47" s="551"/>
      <c r="AA47" s="1639"/>
      <c r="AB47" s="1639"/>
      <c r="AC47" s="1639"/>
      <c r="AD47" s="1639"/>
      <c r="AE47" s="1639"/>
      <c r="AF47" s="1167">
        <v>23</v>
      </c>
    </row>
    <row s="1373" customFormat="1" customHeight="1" ht="19.95">
      <c r="A48" s="994"/>
      <c r="C48" s="1643"/>
      <c r="D48" s="1645"/>
      <c r="E48" s="1671" t="s">
        <v>112</v>
      </c>
      <c r="F48" s="714" t="s">
        <v>808</v>
      </c>
      <c r="G48" s="1650" t="s">
        <v>617</v>
      </c>
      <c r="H48" s="584"/>
      <c r="I48" s="584"/>
      <c r="J48" s="296"/>
      <c r="K48" s="550"/>
      <c r="L48" s="1643"/>
      <c r="M48" s="1643"/>
      <c r="R48" s="1643"/>
      <c r="U48" s="551"/>
      <c r="AA48" s="1639"/>
      <c r="AB48" s="1639"/>
      <c r="AC48" s="1639"/>
      <c r="AD48" s="1639"/>
      <c r="AE48" s="1639"/>
      <c r="AF48" s="1167">
        <v>19</v>
      </c>
    </row>
    <row customHeight="1" ht="11.549999999999999">
      <c r="D49" s="1645"/>
      <c r="AF49" s="163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H52" s="573"/>
      <c r="I52" s="573"/>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customHeight="1" ht="11.549999999999999">
      <c r="AF205" s="1638">
        <v>11</v>
      </c>
    </row>
    <row customHeight="1" ht="11.549999999999999">
      <c r="AF206" s="1638">
        <v>11</v>
      </c>
    </row>
    <row customHeight="1" ht="11.549999999999999">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549999999999999">
      <c r="A217" s="997"/>
      <c r="B217" s="1638"/>
      <c r="D217" s="1638"/>
      <c r="K217" s="1638"/>
      <c r="N217" s="1638"/>
      <c r="O217" s="1638"/>
      <c r="P217" s="1638"/>
      <c r="Q217" s="1638"/>
      <c r="S217" s="1638"/>
      <c r="T217" s="1638"/>
      <c r="U217" s="1638"/>
      <c r="V217" s="1638"/>
      <c r="W217" s="1638"/>
      <c r="X217" s="1638"/>
      <c r="Y217" s="1638"/>
      <c r="Z217" s="1638"/>
      <c r="AA217" s="1638"/>
      <c r="AB217" s="1638"/>
      <c r="AC217" s="1638"/>
      <c r="AD217" s="1638"/>
      <c r="AE217" s="1638"/>
      <c r="AF217" s="1638">
        <v>11</v>
      </c>
    </row>
    <row customHeight="1" ht="11.549999999999999">
      <c r="A218" s="997"/>
      <c r="B218" s="1638"/>
      <c r="D218" s="1638"/>
      <c r="K218" s="1638"/>
      <c r="N218" s="1638"/>
      <c r="O218" s="1638"/>
      <c r="P218" s="1638"/>
      <c r="Q218" s="1638"/>
      <c r="S218" s="1638"/>
      <c r="T218" s="1638"/>
      <c r="U218" s="1638"/>
      <c r="V218" s="1638"/>
      <c r="W218" s="1638"/>
      <c r="X218" s="1638"/>
      <c r="Y218" s="1638"/>
      <c r="Z218" s="1638"/>
      <c r="AA218" s="1638"/>
      <c r="AB218" s="1638"/>
      <c r="AC218" s="1638"/>
      <c r="AD218" s="1638"/>
      <c r="AE218" s="1638"/>
      <c r="AF218" s="1638">
        <v>11</v>
      </c>
    </row>
    <row customHeight="1" ht="11.25" hidden="1">
      <c r="A219" s="994" t="s">
        <v>81</v>
      </c>
      <c r="B219" s="1167">
        <v>0</v>
      </c>
      <c r="C219" s="1643">
        <v>0</v>
      </c>
      <c r="D219" s="1642">
        <v>3</v>
      </c>
      <c r="E219" s="1638">
        <v>7</v>
      </c>
      <c r="F219" s="1638">
        <v>56</v>
      </c>
      <c r="G219" s="1638">
        <v>10</v>
      </c>
      <c r="H219" s="1638">
        <v>0</v>
      </c>
      <c r="I219" s="1638">
        <v>40</v>
      </c>
      <c r="J219" s="1638">
        <v>102</v>
      </c>
      <c r="K219" s="1167">
        <v>9</v>
      </c>
      <c r="L219" s="1643">
        <v>5</v>
      </c>
      <c r="M219" s="1643">
        <v>3</v>
      </c>
      <c r="N219" s="1167">
        <v>3</v>
      </c>
      <c r="O219" s="1167">
        <v>3</v>
      </c>
      <c r="P219" s="1167">
        <v>3</v>
      </c>
      <c r="Q219" s="1167">
        <v>3</v>
      </c>
      <c r="R219" s="1643">
        <v>10</v>
      </c>
      <c r="S219" s="1167">
        <v>34</v>
      </c>
      <c r="T219" s="1167">
        <v>9</v>
      </c>
      <c r="U219" s="551">
        <v>8</v>
      </c>
      <c r="V219" s="1167">
        <v>8</v>
      </c>
      <c r="W219" s="1167">
        <v>8</v>
      </c>
      <c r="X219" s="1167">
        <v>8</v>
      </c>
      <c r="Y219" s="1167">
        <v>8</v>
      </c>
      <c r="Z219" s="1167">
        <v>8</v>
      </c>
      <c r="AA219" s="1639">
        <v>8</v>
      </c>
      <c r="AB219" s="1639">
        <v>8</v>
      </c>
      <c r="AC219" s="1639">
        <v>8</v>
      </c>
      <c r="AD219" s="1639">
        <v>8</v>
      </c>
      <c r="AE219" s="1639">
        <v>8</v>
      </c>
      <c r="AF219" s="163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5776E-4D02-2895-D402-0.07031F67}"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551</v>
      </c>
      <c r="H2" s="548"/>
      <c r="I2" s="548"/>
      <c r="J2" s="549" t="s">
        <v>554</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68" t="s">
        <v>809</v>
      </c>
      <c r="F6" s="2268"/>
      <c r="G6" s="2268"/>
      <c r="H6" s="2268"/>
      <c r="I6" s="2268"/>
      <c r="J6" s="563"/>
      <c r="AF6" s="1638">
        <v>32</v>
      </c>
    </row>
    <row customHeight="1" ht="25.2">
      <c r="E7" s="2269" t="str">
        <f>IF(org=0,"Не определено",org)</f>
        <v>ИМУП «ПОСЖИЛКОМСЕРВИС»</v>
      </c>
      <c r="F7" s="2269"/>
      <c r="G7" s="2269"/>
      <c r="H7" s="2269"/>
      <c r="I7" s="2269"/>
      <c r="AF7" s="1638">
        <v>24</v>
      </c>
    </row>
    <row customHeight="1" ht="11.549999999999999">
      <c r="E8" s="1142"/>
      <c r="F8" s="1142"/>
      <c r="G8" s="1142"/>
      <c r="H8" s="1142"/>
      <c r="I8" s="1142"/>
      <c r="AF8" s="1638">
        <v>11</v>
      </c>
    </row>
    <row s="1649" customFormat="1" customHeight="1" ht="1.05">
      <c r="A9" s="1174"/>
      <c r="D9" s="1649"/>
      <c r="H9" s="896"/>
      <c r="I9" s="896" t="s">
        <v>117</v>
      </c>
      <c r="AF9" s="1643">
        <v>1</v>
      </c>
    </row>
    <row customHeight="1" ht="11.549999999999999">
      <c r="E10" s="718"/>
      <c r="F10" s="2387" t="s">
        <v>105</v>
      </c>
      <c r="G10" s="2388"/>
      <c r="H10" s="1666" t="str">
        <f>IF(H9="","",INDEX(DIFFERENTIATION_UNMERGE_VD,MATCH(H9,DIFFERENTIATION_ID_DIFF,0)))</f>
        <v/>
      </c>
      <c r="I10" s="1666" t="str">
        <f>IF(I9="","",INDEX(DIFFERENTIATION_UNMERGE_VD,MATCH(I9,DIFFERENTIATION_ID_DIFF,0)))</f>
        <v>Холодное водоснабжение. Питьевая вода</v>
      </c>
      <c r="J10" s="2147" t="s">
        <v>300</v>
      </c>
      <c r="AF10" s="1638">
        <v>11</v>
      </c>
    </row>
    <row customHeight="1" ht="11.549999999999999">
      <c r="E11" s="718"/>
      <c r="F11" s="2387" t="s">
        <v>563</v>
      </c>
      <c r="G11" s="2388"/>
      <c r="H11" s="1666" t="str">
        <f>IF(H9="","",INDEX(DIFFERENTIATION_UNMERGE_AREA,MATCH(H9,DIFFERENTIATION_ID_DIFF,0)))</f>
        <v/>
      </c>
      <c r="I11" s="1666" t="str">
        <f>IF(I9="","",INDEX(DIFFERENTIATION_UNMERGE_AREA,MATCH(I9,DIFFERENTIATION_ID_DIFF,0)))</f>
        <v>Территория 1</v>
      </c>
      <c r="J11" s="2147"/>
      <c r="AF11" s="1638">
        <v>11</v>
      </c>
    </row>
    <row customHeight="1" ht="11.25" hidden="1">
      <c r="E12" s="1669"/>
      <c r="F12" s="2410" t="s">
        <v>564</v>
      </c>
      <c r="G12" s="2411"/>
      <c r="H12" s="1670" t="str">
        <f>IF(H9="","",INDEX(DIFFERENTIATION_UNMERGE_SYSTEM,MATCH(H9,DIFFERENTIATION_ID_DIFF,0)))</f>
        <v/>
      </c>
      <c r="I12" s="1670" t="str">
        <f>IF(I9="","",INDEX(DIFFERENTIATION_UNMERGE_SYSTEM,MATCH(I9,DIFFERENTIATION_ID_DIFF,0)))</f>
        <v>без дифференциации</v>
      </c>
      <c r="J12" s="2147"/>
      <c r="AF12" s="1638">
        <v>0</v>
      </c>
    </row>
    <row customHeight="1" ht="11.549999999999999">
      <c r="E13" s="2389" t="s">
        <v>299</v>
      </c>
      <c r="F13" s="2390"/>
      <c r="G13" s="2390"/>
      <c r="H13" s="1663"/>
      <c r="I13" s="1663"/>
      <c r="J13" s="2147"/>
      <c r="AF13" s="1638">
        <v>11</v>
      </c>
    </row>
    <row customHeight="1" ht="24">
      <c r="E14" s="1664" t="s">
        <v>87</v>
      </c>
      <c r="F14" s="1667" t="s">
        <v>301</v>
      </c>
      <c r="G14" s="1667" t="s">
        <v>565</v>
      </c>
      <c r="H14" s="1667" t="s">
        <v>302</v>
      </c>
      <c r="I14" s="1667" t="s">
        <v>302</v>
      </c>
      <c r="J14" s="2147"/>
      <c r="AF14" s="1638">
        <v>23</v>
      </c>
    </row>
    <row customHeight="1" ht="19.95">
      <c r="D15" s="1645"/>
      <c r="E15" s="1637" t="s">
        <v>109</v>
      </c>
      <c r="F15" s="714" t="s">
        <v>810</v>
      </c>
      <c r="G15" s="1664" t="s">
        <v>551</v>
      </c>
      <c r="H15" s="564"/>
      <c r="I15" s="564"/>
      <c r="J15" s="296" t="s">
        <v>811</v>
      </c>
      <c r="K15" s="550" t="s">
        <v>659</v>
      </c>
      <c r="AF15" s="1638">
        <v>19</v>
      </c>
    </row>
    <row customHeight="1" ht="24">
      <c r="D16" s="1645"/>
      <c r="E16" s="1637" t="s">
        <v>110</v>
      </c>
      <c r="F16" s="2091" t="s">
        <v>812</v>
      </c>
      <c r="G16" s="1664" t="s">
        <v>551</v>
      </c>
      <c r="H16" s="565">
        <f>SUM(H17,H20:H27)</f>
        <v>0</v>
      </c>
      <c r="I16" s="565">
        <f>SUM(I17,I20:I27)</f>
        <v>0</v>
      </c>
      <c r="J16" s="2088" t="s">
        <v>813</v>
      </c>
      <c r="K16" s="550" t="s">
        <v>659</v>
      </c>
      <c r="AF16" s="1638">
        <v>23</v>
      </c>
    </row>
    <row customHeight="1" ht="35.699999999999996">
      <c r="D17" s="1645"/>
      <c r="E17" s="1671" t="s">
        <v>737</v>
      </c>
      <c r="F17" s="1673" t="s">
        <v>814</v>
      </c>
      <c r="G17" s="1661" t="s">
        <v>551</v>
      </c>
      <c r="H17" s="564"/>
      <c r="I17" s="564"/>
      <c r="J17" s="296" t="s">
        <v>815</v>
      </c>
      <c r="K17" s="550"/>
      <c r="AF17" s="1638">
        <v>34</v>
      </c>
    </row>
    <row customHeight="1" ht="19.95">
      <c r="D18" s="1645"/>
      <c r="E18" s="1671" t="s">
        <v>740</v>
      </c>
      <c r="F18" s="1674" t="s">
        <v>816</v>
      </c>
      <c r="G18" s="1661" t="s">
        <v>551</v>
      </c>
      <c r="H18" s="564"/>
      <c r="I18" s="564"/>
      <c r="J18" s="296"/>
      <c r="K18" s="550"/>
      <c r="AF18" s="1638">
        <v>19</v>
      </c>
    </row>
    <row customHeight="1" ht="24">
      <c r="D19" s="1645"/>
      <c r="E19" s="1671" t="s">
        <v>743</v>
      </c>
      <c r="F19" s="1674" t="s">
        <v>817</v>
      </c>
      <c r="G19" s="1661" t="s">
        <v>551</v>
      </c>
      <c r="H19" s="564"/>
      <c r="I19" s="564"/>
      <c r="J19" s="296"/>
      <c r="K19" s="550"/>
      <c r="AF19" s="1638">
        <v>23</v>
      </c>
    </row>
    <row customHeight="1" ht="35.699999999999996">
      <c r="D20" s="1645"/>
      <c r="E20" s="1671" t="s">
        <v>306</v>
      </c>
      <c r="F20" s="1673" t="s">
        <v>818</v>
      </c>
      <c r="G20" s="1661" t="s">
        <v>551</v>
      </c>
      <c r="H20" s="564"/>
      <c r="I20" s="564"/>
      <c r="J20" s="296"/>
      <c r="K20" s="550"/>
      <c r="AF20" s="1638">
        <v>34</v>
      </c>
    </row>
    <row customHeight="1" ht="48.29999999999999">
      <c r="D21" s="1645"/>
      <c r="E21" s="1671" t="s">
        <v>309</v>
      </c>
      <c r="F21" s="1673" t="s">
        <v>819</v>
      </c>
      <c r="G21" s="1661" t="s">
        <v>551</v>
      </c>
      <c r="H21" s="564"/>
      <c r="I21" s="564"/>
      <c r="J21" s="296"/>
      <c r="K21" s="550"/>
      <c r="AF21" s="1638">
        <v>46</v>
      </c>
    </row>
    <row customHeight="1" ht="60">
      <c r="D22" s="1645"/>
      <c r="E22" s="1671" t="s">
        <v>757</v>
      </c>
      <c r="F22" s="1673" t="s">
        <v>820</v>
      </c>
      <c r="G22" s="1661" t="s">
        <v>551</v>
      </c>
      <c r="H22" s="564"/>
      <c r="I22" s="564"/>
      <c r="J22" s="296"/>
      <c r="K22" s="550"/>
      <c r="AF22" s="1638">
        <v>57</v>
      </c>
    </row>
    <row customHeight="1" ht="35.699999999999996">
      <c r="D23" s="1645"/>
      <c r="E23" s="1671" t="s">
        <v>764</v>
      </c>
      <c r="F23" s="1673" t="s">
        <v>821</v>
      </c>
      <c r="G23" s="1661" t="s">
        <v>551</v>
      </c>
      <c r="H23" s="564"/>
      <c r="I23" s="564"/>
      <c r="J23" s="296"/>
      <c r="K23" s="550"/>
      <c r="AF23" s="1638">
        <v>34</v>
      </c>
    </row>
    <row customHeight="1" ht="35.699999999999996">
      <c r="D24" s="1645"/>
      <c r="E24" s="1671" t="s">
        <v>766</v>
      </c>
      <c r="F24" s="1673" t="s">
        <v>822</v>
      </c>
      <c r="G24" s="1661" t="s">
        <v>551</v>
      </c>
      <c r="H24" s="564"/>
      <c r="I24" s="564"/>
      <c r="J24" s="296"/>
      <c r="K24" s="550"/>
      <c r="AF24" s="1638">
        <v>34</v>
      </c>
    </row>
    <row customHeight="1" ht="24">
      <c r="D25" s="1645"/>
      <c r="E25" s="1671" t="s">
        <v>768</v>
      </c>
      <c r="F25" s="1673" t="s">
        <v>823</v>
      </c>
      <c r="G25" s="1661" t="s">
        <v>551</v>
      </c>
      <c r="H25" s="564"/>
      <c r="I25" s="564"/>
      <c r="J25" s="296"/>
      <c r="K25" s="550"/>
      <c r="AF25" s="1638">
        <v>23</v>
      </c>
    </row>
    <row customHeight="1" ht="76.5">
      <c r="D26" s="1645"/>
      <c r="E26" s="1671" t="s">
        <v>770</v>
      </c>
      <c r="F26" s="1673" t="s">
        <v>824</v>
      </c>
      <c r="G26" s="1661" t="s">
        <v>551</v>
      </c>
      <c r="H26" s="564"/>
      <c r="I26" s="564"/>
      <c r="J26" s="296"/>
      <c r="K26" s="550"/>
      <c r="AF26" s="1638">
        <v>73</v>
      </c>
    </row>
    <row s="1373" customFormat="1" customHeight="1" ht="35.699999999999996">
      <c r="A27" s="994"/>
      <c r="C27" s="1643"/>
      <c r="D27" s="1645"/>
      <c r="E27" s="1636" t="s">
        <v>774</v>
      </c>
      <c r="F27" s="1635" t="s">
        <v>825</v>
      </c>
      <c r="G27" s="1662" t="s">
        <v>551</v>
      </c>
      <c r="H27" s="586">
        <f>SUM(H28:H29)</f>
        <v>0</v>
      </c>
      <c r="I27" s="586">
        <f>SUM(I28:I29)</f>
        <v>0</v>
      </c>
      <c r="J27" s="296" t="s">
        <v>772</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2" t="s">
        <v>604</v>
      </c>
      <c r="G29" s="579"/>
      <c r="H29" s="580"/>
      <c r="I29" s="580"/>
      <c r="J29" s="308" t="s">
        <v>773</v>
      </c>
      <c r="K29" s="550"/>
      <c r="L29" s="1643"/>
      <c r="M29" s="1643"/>
      <c r="R29" s="1643"/>
      <c r="U29" s="551"/>
      <c r="AA29" s="1639"/>
      <c r="AB29" s="1639"/>
      <c r="AC29" s="1639"/>
      <c r="AD29" s="1639"/>
      <c r="AE29" s="1639"/>
      <c r="AF29" s="1167">
        <v>19</v>
      </c>
    </row>
    <row customHeight="1" ht="76.5">
      <c r="B30" s="1373"/>
      <c r="D30" s="2082"/>
      <c r="E30" s="1671" t="s">
        <v>826</v>
      </c>
      <c r="F30" s="2090" t="s">
        <v>781</v>
      </c>
      <c r="G30" s="2081" t="s">
        <v>551</v>
      </c>
      <c r="H30" s="564"/>
      <c r="I30" s="564"/>
      <c r="J30" s="2088" t="s">
        <v>827</v>
      </c>
      <c r="K30" s="550"/>
      <c r="N30" s="1373"/>
      <c r="O30" s="1373"/>
      <c r="P30" s="1373"/>
      <c r="Q30" s="1373"/>
      <c r="S30" s="1373"/>
      <c r="T30" s="1373"/>
      <c r="V30" s="1373"/>
      <c r="W30" s="1373"/>
      <c r="X30" s="1373"/>
      <c r="Y30" s="1373"/>
      <c r="Z30" s="1373"/>
      <c r="AF30" s="1638">
        <v>73</v>
      </c>
    </row>
    <row s="1373" customFormat="1" customHeight="1" ht="24">
      <c r="A31" s="994"/>
      <c r="C31" s="1643"/>
      <c r="D31" s="1645"/>
      <c r="E31" s="1671" t="s">
        <v>89</v>
      </c>
      <c r="F31" s="1668" t="s">
        <v>828</v>
      </c>
      <c r="G31" s="1661" t="s">
        <v>551</v>
      </c>
      <c r="H31" s="564"/>
      <c r="I31" s="564"/>
      <c r="J31" s="296"/>
      <c r="K31" s="550"/>
      <c r="L31" s="1643"/>
      <c r="M31" s="1643"/>
      <c r="R31" s="1643"/>
      <c r="U31" s="551"/>
      <c r="AA31" s="1639"/>
      <c r="AB31" s="1639"/>
      <c r="AC31" s="1639"/>
      <c r="AD31" s="1639"/>
      <c r="AE31" s="1639"/>
      <c r="AF31" s="1167">
        <v>23</v>
      </c>
    </row>
    <row s="1373" customFormat="1" customHeight="1" ht="35.699999999999996">
      <c r="A32" s="994"/>
      <c r="C32" s="1643"/>
      <c r="D32" s="582"/>
      <c r="E32" s="1671" t="s">
        <v>90</v>
      </c>
      <c r="F32" s="1668" t="s">
        <v>829</v>
      </c>
      <c r="G32" s="1661" t="s">
        <v>551</v>
      </c>
      <c r="H32" s="564"/>
      <c r="I32" s="564"/>
      <c r="J32" s="296" t="s">
        <v>830</v>
      </c>
      <c r="K32" s="550"/>
      <c r="L32" s="1643"/>
      <c r="M32" s="1643"/>
      <c r="R32" s="1643"/>
      <c r="U32" s="551"/>
      <c r="AA32" s="1639"/>
      <c r="AB32" s="1639"/>
      <c r="AC32" s="1639"/>
      <c r="AD32" s="1639"/>
      <c r="AE32" s="1639"/>
      <c r="AF32" s="1167">
        <v>34</v>
      </c>
    </row>
    <row s="1373" customFormat="1" customHeight="1" ht="24">
      <c r="A33" s="994"/>
      <c r="C33" s="1643"/>
      <c r="D33" s="1645"/>
      <c r="E33" s="1671" t="s">
        <v>788</v>
      </c>
      <c r="F33" s="697" t="s">
        <v>792</v>
      </c>
      <c r="G33" s="1661" t="s">
        <v>551</v>
      </c>
      <c r="H33" s="564"/>
      <c r="I33" s="564"/>
      <c r="J33" s="296" t="s">
        <v>831</v>
      </c>
      <c r="K33" s="550"/>
      <c r="L33" s="1643"/>
      <c r="M33" s="1643"/>
      <c r="R33" s="1643"/>
      <c r="U33" s="551"/>
      <c r="AA33" s="1639"/>
      <c r="AB33" s="1639"/>
      <c r="AC33" s="1639"/>
      <c r="AD33" s="1639"/>
      <c r="AE33" s="1639"/>
      <c r="AF33" s="1167">
        <v>23</v>
      </c>
    </row>
    <row s="1373" customFormat="1" customHeight="1" ht="24">
      <c r="A34" s="994"/>
      <c r="C34" s="1643"/>
      <c r="D34" s="1645"/>
      <c r="E34" s="1671" t="s">
        <v>832</v>
      </c>
      <c r="F34" s="697" t="s">
        <v>833</v>
      </c>
      <c r="G34" s="1661" t="s">
        <v>551</v>
      </c>
      <c r="H34" s="564"/>
      <c r="I34" s="564"/>
      <c r="J34" s="296" t="s">
        <v>834</v>
      </c>
      <c r="K34" s="550"/>
      <c r="L34" s="1643"/>
      <c r="M34" s="1643"/>
      <c r="R34" s="1643"/>
      <c r="U34" s="551"/>
      <c r="AA34" s="1639"/>
      <c r="AB34" s="1639"/>
      <c r="AC34" s="1639"/>
      <c r="AD34" s="1639"/>
      <c r="AE34" s="1639"/>
      <c r="AF34" s="1167">
        <v>23</v>
      </c>
    </row>
    <row s="1373" customFormat="1" customHeight="1" ht="24">
      <c r="A35" s="994"/>
      <c r="C35" s="1643"/>
      <c r="D35" s="1645"/>
      <c r="E35" s="1671" t="s">
        <v>835</v>
      </c>
      <c r="F35" s="697" t="s">
        <v>798</v>
      </c>
      <c r="G35" s="1661" t="s">
        <v>551</v>
      </c>
      <c r="H35" s="564"/>
      <c r="I35" s="564"/>
      <c r="J35" s="296" t="s">
        <v>836</v>
      </c>
      <c r="K35" s="550"/>
      <c r="L35" s="1643"/>
      <c r="M35" s="1643"/>
      <c r="R35" s="1643"/>
      <c r="U35" s="551"/>
      <c r="AA35" s="1639"/>
      <c r="AB35" s="1639"/>
      <c r="AC35" s="1639"/>
      <c r="AD35" s="1639"/>
      <c r="AE35" s="1639"/>
      <c r="AF35" s="1167">
        <v>23</v>
      </c>
    </row>
    <row s="1373" customFormat="1" customHeight="1" ht="35.699999999999996">
      <c r="A36" s="994"/>
      <c r="C36" s="1643" t="s">
        <v>607</v>
      </c>
      <c r="D36" s="1645"/>
      <c r="E36" s="1671" t="s">
        <v>111</v>
      </c>
      <c r="F36" s="1668" t="s">
        <v>658</v>
      </c>
      <c r="G36" s="1664" t="s">
        <v>305</v>
      </c>
      <c r="H36" s="408"/>
      <c r="I36" s="408"/>
      <c r="J36" s="296" t="s">
        <v>837</v>
      </c>
      <c r="K36" s="550"/>
      <c r="L36" s="1643"/>
      <c r="M36" s="1643"/>
      <c r="R36" s="1643"/>
      <c r="U36" s="551"/>
      <c r="AA36" s="1639"/>
      <c r="AB36" s="1639"/>
      <c r="AC36" s="1639"/>
      <c r="AD36" s="1639"/>
      <c r="AE36" s="1639"/>
      <c r="AF36" s="1167">
        <v>34</v>
      </c>
    </row>
    <row s="1373" customFormat="1" customHeight="1" ht="35.699999999999996">
      <c r="A37" s="994"/>
      <c r="C37" s="1643"/>
      <c r="D37" s="1645"/>
      <c r="E37" s="1671" t="s">
        <v>91</v>
      </c>
      <c r="F37" s="1668" t="s">
        <v>838</v>
      </c>
      <c r="G37" s="1661" t="s">
        <v>803</v>
      </c>
      <c r="H37" s="2089"/>
      <c r="I37" s="2089"/>
      <c r="J37" s="296" t="s">
        <v>804</v>
      </c>
      <c r="K37" s="550"/>
      <c r="L37" s="1643"/>
      <c r="M37" s="1643"/>
      <c r="R37" s="1643"/>
      <c r="U37" s="551"/>
      <c r="AA37" s="1639"/>
      <c r="AB37" s="1639"/>
      <c r="AC37" s="1639"/>
      <c r="AD37" s="1639"/>
      <c r="AE37" s="1639"/>
      <c r="AF37" s="1167">
        <v>34</v>
      </c>
    </row>
    <row s="1373" customFormat="1" customHeight="1" ht="33.75">
      <c r="A38" s="994"/>
      <c r="C38" s="1643"/>
      <c r="D38" s="2082"/>
      <c r="E38" s="1671" t="s">
        <v>681</v>
      </c>
      <c r="F38" s="2090" t="s">
        <v>839</v>
      </c>
      <c r="G38" s="2081" t="s">
        <v>803</v>
      </c>
      <c r="H38" s="552"/>
      <c r="I38" s="552"/>
      <c r="J38" s="2088" t="s">
        <v>840</v>
      </c>
      <c r="K38" s="550"/>
      <c r="L38" s="1643"/>
      <c r="M38" s="1643"/>
      <c r="R38" s="1643"/>
      <c r="U38" s="551"/>
      <c r="AA38" s="1639"/>
      <c r="AB38" s="1639"/>
      <c r="AC38" s="1639"/>
      <c r="AD38" s="1639"/>
      <c r="AE38" s="1639"/>
    </row>
    <row s="1373" customFormat="1" customHeight="1" ht="33.75">
      <c r="A39" s="994"/>
      <c r="C39" s="1643"/>
      <c r="D39" s="2082"/>
      <c r="E39" s="1671" t="s">
        <v>685</v>
      </c>
      <c r="F39" s="2090" t="s">
        <v>841</v>
      </c>
      <c r="G39" s="2081" t="s">
        <v>803</v>
      </c>
      <c r="H39" s="552"/>
      <c r="I39" s="552"/>
      <c r="J39" s="2088" t="s">
        <v>842</v>
      </c>
      <c r="K39" s="550"/>
      <c r="L39" s="1643"/>
      <c r="M39" s="1643"/>
      <c r="R39" s="1643"/>
      <c r="U39" s="551"/>
      <c r="AA39" s="1639"/>
      <c r="AB39" s="1639"/>
      <c r="AC39" s="1639"/>
      <c r="AD39" s="1639"/>
      <c r="AE39" s="1639"/>
    </row>
    <row s="1373" customFormat="1" customHeight="1" ht="24">
      <c r="A40" s="994"/>
      <c r="C40" s="1643"/>
      <c r="D40" s="1645"/>
      <c r="E40" s="1671" t="s">
        <v>92</v>
      </c>
      <c r="F40" s="1668" t="s">
        <v>843</v>
      </c>
      <c r="G40" s="1661" t="s">
        <v>806</v>
      </c>
      <c r="H40" s="2089"/>
      <c r="I40" s="2089"/>
      <c r="J40" s="296" t="s">
        <v>807</v>
      </c>
      <c r="K40" s="550"/>
      <c r="L40" s="1643"/>
      <c r="M40" s="1643"/>
      <c r="R40" s="1643"/>
      <c r="U40" s="551"/>
      <c r="AA40" s="1639"/>
      <c r="AB40" s="1639"/>
      <c r="AC40" s="1639"/>
      <c r="AD40" s="1639"/>
      <c r="AE40" s="1639"/>
      <c r="AF40" s="1167">
        <v>23</v>
      </c>
    </row>
    <row s="1373" customFormat="1" customHeight="1" ht="24">
      <c r="A41" s="994"/>
      <c r="C41" s="1643"/>
      <c r="D41" s="2082"/>
      <c r="E41" s="1671" t="s">
        <v>844</v>
      </c>
      <c r="F41" s="2090" t="s">
        <v>845</v>
      </c>
      <c r="G41" s="2081" t="s">
        <v>806</v>
      </c>
      <c r="H41" s="552"/>
      <c r="I41" s="552"/>
      <c r="J41" s="2088" t="s">
        <v>846</v>
      </c>
      <c r="K41" s="550"/>
      <c r="L41" s="1643"/>
      <c r="M41" s="1643"/>
      <c r="R41" s="1643"/>
      <c r="U41" s="551"/>
      <c r="AA41" s="1639"/>
      <c r="AB41" s="1639"/>
      <c r="AC41" s="1639"/>
      <c r="AD41" s="1639"/>
      <c r="AE41" s="1639"/>
      <c r="AF41" s="1373">
        <v>23</v>
      </c>
    </row>
    <row s="1373" customFormat="1" customHeight="1" ht="24">
      <c r="A42" s="994"/>
      <c r="C42" s="1643"/>
      <c r="D42" s="2082"/>
      <c r="E42" s="1671" t="s">
        <v>847</v>
      </c>
      <c r="F42" s="2090" t="s">
        <v>848</v>
      </c>
      <c r="G42" s="2081" t="s">
        <v>806</v>
      </c>
      <c r="H42" s="552"/>
      <c r="I42" s="552"/>
      <c r="J42" s="2088" t="s">
        <v>849</v>
      </c>
      <c r="K42" s="550"/>
      <c r="L42" s="1643"/>
      <c r="M42" s="1643"/>
      <c r="R42" s="1643"/>
      <c r="U42" s="551"/>
      <c r="AA42" s="1639"/>
      <c r="AB42" s="1639"/>
      <c r="AC42" s="1639"/>
      <c r="AD42" s="1639"/>
      <c r="AE42" s="1639"/>
      <c r="AF42" s="1373">
        <v>23</v>
      </c>
    </row>
    <row customHeight="1" ht="11.549999999999999">
      <c r="D43" s="1645"/>
      <c r="AF43" s="1638">
        <v>11</v>
      </c>
    </row>
    <row customHeight="1" ht="27.299999999999997">
      <c r="D44" s="1645"/>
      <c r="E44" s="1260" t="s">
        <v>850</v>
      </c>
      <c r="F44" s="2305" t="s">
        <v>851</v>
      </c>
      <c r="G44" s="2305"/>
      <c r="H44" s="376"/>
      <c r="I44" s="376"/>
      <c r="J44" s="376"/>
      <c r="AF44" s="1638">
        <v>26</v>
      </c>
    </row>
    <row s="1648" customFormat="1" customHeight="1" ht="39.75">
      <c r="A45" s="994"/>
      <c r="B45" s="1643"/>
      <c r="C45" s="1643"/>
      <c r="D45" s="358"/>
      <c r="F45" s="2305" t="s">
        <v>852</v>
      </c>
      <c r="G45" s="2305"/>
      <c r="H45" s="376"/>
      <c r="I45" s="376"/>
      <c r="J45" s="376"/>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38</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H48" s="573"/>
      <c r="I48" s="573"/>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customHeight="1" ht="11.549999999999999">
      <c r="AF201" s="1638">
        <v>11</v>
      </c>
    </row>
    <row customHeight="1" ht="11.549999999999999">
      <c r="AF202" s="1638">
        <v>11</v>
      </c>
    </row>
    <row customHeight="1" ht="11.549999999999999">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25" hidden="1">
      <c r="A215" s="994" t="s">
        <v>81</v>
      </c>
      <c r="B215" s="1167">
        <v>0</v>
      </c>
      <c r="C215" s="1643">
        <v>0</v>
      </c>
      <c r="D215" s="1642">
        <v>3</v>
      </c>
      <c r="E215" s="1638">
        <v>7</v>
      </c>
      <c r="F215" s="1638">
        <v>54</v>
      </c>
      <c r="G215" s="1638">
        <v>10</v>
      </c>
      <c r="H215" s="1638">
        <v>0</v>
      </c>
      <c r="I215" s="1638">
        <v>40</v>
      </c>
      <c r="J215" s="1638">
        <v>102</v>
      </c>
      <c r="K215" s="1167">
        <v>9</v>
      </c>
      <c r="L215" s="1643">
        <v>5</v>
      </c>
      <c r="M215" s="1643">
        <v>3</v>
      </c>
      <c r="N215" s="1167">
        <v>3</v>
      </c>
      <c r="O215" s="1167">
        <v>3</v>
      </c>
      <c r="P215" s="1167">
        <v>3</v>
      </c>
      <c r="Q215" s="1167">
        <v>3</v>
      </c>
      <c r="R215" s="1643">
        <v>10</v>
      </c>
      <c r="S215" s="1167">
        <v>34</v>
      </c>
      <c r="T215" s="1167">
        <v>9</v>
      </c>
      <c r="U215" s="551">
        <v>8</v>
      </c>
      <c r="V215" s="1167">
        <v>8</v>
      </c>
      <c r="W215" s="1167">
        <v>8</v>
      </c>
      <c r="X215" s="1167">
        <v>8</v>
      </c>
      <c r="Y215" s="1167">
        <v>8</v>
      </c>
      <c r="Z215" s="1167">
        <v>8</v>
      </c>
      <c r="AA215" s="1639">
        <v>8</v>
      </c>
      <c r="AB215" s="1639">
        <v>8</v>
      </c>
      <c r="AC215" s="1639">
        <v>8</v>
      </c>
      <c r="AD215" s="1639">
        <v>8</v>
      </c>
      <c r="AE215" s="1639">
        <v>8</v>
      </c>
      <c r="AF215" s="1638">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BA25B-0184-4486-A3BC-0.34929206}" mc:Ignorable="x14ac xr xr2 xr3">
  <sheetPr>
    <tabColor theme="9" tint="-0.25"/>
  </sheetPr>
  <dimension ref="A1:X102"/>
  <sheetViews>
    <sheetView topLeftCell="A1" showGridLines="0" zoomScale="90" workbookViewId="0">
      <selection activeCell="I53" sqref="I53"/>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9"/>
      <c r="F3" s="2260"/>
      <c r="X3" s="512">
        <v>75</v>
      </c>
    </row>
    <row s="1642" customFormat="1" customHeight="1" ht="21">
      <c r="A4" s="958"/>
      <c r="B4" s="518"/>
      <c r="D4" s="2234" t="str">
        <f>IF(org=0,"Не определено",org)</f>
        <v>ИМУП «ПОСЖИЛКОМСЕРВИС»</v>
      </c>
      <c r="E4" s="2235"/>
      <c r="F4" s="2236"/>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117</v>
      </c>
      <c r="J6" s="1029"/>
      <c r="X6" s="512">
        <v>1</v>
      </c>
    </row>
    <row customHeight="1" ht="11.549999999999999">
      <c r="D7" s="718"/>
      <c r="E7" s="2387" t="s">
        <v>105</v>
      </c>
      <c r="F7" s="2388"/>
      <c r="G7" s="2413" t="str">
        <f>IF(G6="","",INDEX(DIFFERENTIATION_UNMERGE_VD,MATCH(G6,DIFFERENTIATION_ID_DIFF,0)))</f>
        <v/>
      </c>
      <c r="H7" s="2414"/>
      <c r="I7" s="2413" t="str">
        <f>IF(I6="","",INDEX(DIFFERENTIATION_UNMERGE_VD,MATCH(I6,DIFFERENTIATION_ID_DIFF,0)))</f>
        <v>Холодное водоснабжение. Питьевая вода</v>
      </c>
      <c r="J7" s="2414"/>
      <c r="K7" s="2195"/>
      <c r="L7" s="516"/>
      <c r="X7" s="512">
        <v>11</v>
      </c>
    </row>
    <row customHeight="1" ht="11.549999999999999">
      <c r="A8" s="711"/>
      <c r="D8" s="718"/>
      <c r="E8" s="2387" t="s">
        <v>563</v>
      </c>
      <c r="F8" s="2388"/>
      <c r="G8" s="2413" t="str">
        <f>IF(G6="","",INDEX(DIFFERENTIATION_UNMERGE_AREA,MATCH(G6,DIFFERENTIATION_ID_DIFF,0)))</f>
        <v/>
      </c>
      <c r="H8" s="2414"/>
      <c r="I8" s="2413" t="str">
        <f>IF(I6="","",INDEX(DIFFERENTIATION_UNMERGE_AREA,MATCH(I6,DIFFERENTIATION_ID_DIFF,0)))</f>
        <v>Территория 1</v>
      </c>
      <c r="J8" s="2414"/>
      <c r="K8" s="2219"/>
      <c r="L8" s="516"/>
      <c r="X8" s="512">
        <v>11</v>
      </c>
    </row>
    <row customHeight="1" ht="11.549999999999999">
      <c r="A9" s="711"/>
      <c r="D9" s="718"/>
      <c r="E9" s="2387" t="s">
        <v>564</v>
      </c>
      <c r="F9" s="2388"/>
      <c r="G9" s="2413" t="str">
        <f>IF(G6="","",INDEX(DIFFERENTIATION_UNMERGE_SYSTEM,MATCH(G6,DIFFERENTIATION_ID_DIFF,0)))</f>
        <v/>
      </c>
      <c r="H9" s="2414"/>
      <c r="I9" s="2413" t="str">
        <f>IF(I6="","",INDEX(DIFFERENTIATION_UNMERGE_SYSTEM,MATCH(I6,DIFFERENTIATION_ID_DIFF,0)))</f>
        <v>без дифференциации</v>
      </c>
      <c r="J9" s="2414"/>
      <c r="K9" s="2219"/>
      <c r="L9" s="516"/>
      <c r="X9" s="512">
        <v>11</v>
      </c>
    </row>
    <row s="1642" customFormat="1" customHeight="1" ht="11.549999999999999">
      <c r="A10" s="1028"/>
      <c r="B10" s="518"/>
      <c r="D10" s="2121" t="s">
        <v>299</v>
      </c>
      <c r="E10" s="2122"/>
      <c r="F10" s="2122"/>
      <c r="G10" s="2122"/>
      <c r="H10" s="2122"/>
      <c r="I10" s="2122"/>
      <c r="J10" s="2123"/>
      <c r="K10" s="2219"/>
      <c r="L10" s="516"/>
      <c r="X10" s="765">
        <v>11</v>
      </c>
    </row>
    <row s="1642" customFormat="1" customHeight="1" ht="24">
      <c r="A11" s="2405"/>
      <c r="B11" s="2405"/>
      <c r="C11" s="664"/>
      <c r="D11" s="710" t="s">
        <v>87</v>
      </c>
      <c r="E11" s="712" t="s">
        <v>853</v>
      </c>
      <c r="F11" s="712" t="s">
        <v>565</v>
      </c>
      <c r="G11" s="472" t="s">
        <v>302</v>
      </c>
      <c r="H11" s="472" t="s">
        <v>389</v>
      </c>
      <c r="I11" s="814" t="s">
        <v>302</v>
      </c>
      <c r="J11" s="815" t="s">
        <v>389</v>
      </c>
      <c r="K11" s="2252"/>
      <c r="L11" s="665"/>
      <c r="X11" s="516">
        <v>23</v>
      </c>
    </row>
    <row s="1649" customFormat="1" customHeight="1" ht="10.5">
      <c r="A12" s="959"/>
      <c r="D12" s="1032" t="s">
        <v>109</v>
      </c>
      <c r="E12" s="1032" t="s">
        <v>110</v>
      </c>
      <c r="F12" s="1032" t="s">
        <v>89</v>
      </c>
      <c r="G12" s="1033" t="str">
        <f>G1&amp;".1"</f>
        <v>4.1</v>
      </c>
      <c r="H12" s="1033" t="str">
        <f>G1&amp;".2"</f>
        <v>4.2</v>
      </c>
      <c r="I12" s="1033" t="str">
        <f>I1&amp;".1"</f>
        <v>4.1</v>
      </c>
      <c r="J12" s="1033" t="str">
        <f>I1&amp;".2"</f>
        <v>4.2</v>
      </c>
      <c r="K12" s="1033"/>
      <c r="X12" s="518">
        <v>10</v>
      </c>
    </row>
    <row customHeight="1" ht="22.5" hidden="1">
      <c r="A13" s="2412" t="s">
        <v>854</v>
      </c>
      <c r="D13" s="960" t="s">
        <v>109</v>
      </c>
      <c r="E13" s="286" t="s">
        <v>855</v>
      </c>
      <c r="F13" s="667" t="s">
        <v>856</v>
      </c>
      <c r="G13" s="564"/>
      <c r="H13" s="668"/>
      <c r="I13" s="564"/>
      <c r="J13" s="668"/>
      <c r="K13" s="296" t="s">
        <v>857</v>
      </c>
      <c r="L13" s="727"/>
      <c r="X13" s="512">
        <v>0</v>
      </c>
    </row>
    <row customHeight="1" ht="22.5" hidden="1">
      <c r="A14" s="2412"/>
      <c r="D14" s="546" t="s">
        <v>110</v>
      </c>
      <c r="E14" s="286" t="s">
        <v>858</v>
      </c>
      <c r="F14" s="667" t="s">
        <v>859</v>
      </c>
      <c r="G14" s="564"/>
      <c r="H14" s="669"/>
      <c r="I14" s="564"/>
      <c r="J14" s="669"/>
      <c r="K14" s="296" t="s">
        <v>860</v>
      </c>
      <c r="L14" s="727"/>
      <c r="X14" s="512">
        <v>0</v>
      </c>
    </row>
    <row s="1642" customFormat="1" customHeight="1" ht="78.75" hidden="1">
      <c r="A15" s="2412"/>
      <c r="B15" s="518"/>
      <c r="D15" s="960" t="s">
        <v>89</v>
      </c>
      <c r="E15" s="714" t="s">
        <v>861</v>
      </c>
      <c r="F15" s="957" t="s">
        <v>305</v>
      </c>
      <c r="G15" s="957" t="s">
        <v>305</v>
      </c>
      <c r="H15" s="113"/>
      <c r="I15" s="957" t="s">
        <v>305</v>
      </c>
      <c r="J15" s="113"/>
      <c r="K15" s="296" t="s">
        <v>862</v>
      </c>
      <c r="L15" s="727"/>
      <c r="X15" s="765">
        <v>0</v>
      </c>
    </row>
    <row s="1642" customFormat="1" customHeight="1" ht="22.5" hidden="1">
      <c r="A16" s="2412"/>
      <c r="B16" s="518"/>
      <c r="D16" s="960" t="s">
        <v>323</v>
      </c>
      <c r="E16" s="961" t="s">
        <v>863</v>
      </c>
      <c r="F16" s="957" t="s">
        <v>864</v>
      </c>
      <c r="G16" s="824"/>
      <c r="H16" s="113"/>
      <c r="I16" s="824"/>
      <c r="J16" s="113"/>
      <c r="K16" s="296"/>
      <c r="L16" s="727"/>
      <c r="X16" s="765">
        <v>0</v>
      </c>
    </row>
    <row s="1642" customFormat="1" customHeight="1" ht="22.5" hidden="1">
      <c r="A17" s="2412"/>
      <c r="B17" s="518"/>
      <c r="D17" s="960" t="s">
        <v>331</v>
      </c>
      <c r="E17" s="961" t="s">
        <v>865</v>
      </c>
      <c r="F17" s="957" t="s">
        <v>866</v>
      </c>
      <c r="G17" s="824"/>
      <c r="H17" s="113"/>
      <c r="I17" s="824"/>
      <c r="J17" s="113"/>
      <c r="K17" s="296"/>
      <c r="L17" s="727"/>
      <c r="X17" s="765">
        <v>0</v>
      </c>
    </row>
    <row s="1642" customFormat="1" customHeight="1" ht="33.75" hidden="1">
      <c r="A18" s="2412"/>
      <c r="B18" s="518"/>
      <c r="D18" s="960" t="s">
        <v>333</v>
      </c>
      <c r="E18" s="961" t="s">
        <v>867</v>
      </c>
      <c r="F18" s="957" t="s">
        <v>570</v>
      </c>
      <c r="G18" s="687"/>
      <c r="H18" s="113"/>
      <c r="I18" s="687"/>
      <c r="J18" s="113"/>
      <c r="K18" s="296"/>
      <c r="L18" s="727"/>
      <c r="X18" s="765">
        <v>0</v>
      </c>
    </row>
    <row customHeight="1" ht="101.25" hidden="1">
      <c r="A19" s="2412"/>
      <c r="D19" s="960" t="s">
        <v>90</v>
      </c>
      <c r="E19" s="286" t="s">
        <v>868</v>
      </c>
      <c r="F19" s="667" t="s">
        <v>545</v>
      </c>
      <c r="G19" s="670"/>
      <c r="H19" s="669"/>
      <c r="I19" s="962"/>
      <c r="J19" s="669"/>
      <c r="K19" s="296" t="s">
        <v>869</v>
      </c>
      <c r="L19" s="727"/>
      <c r="X19" s="512">
        <v>0</v>
      </c>
    </row>
    <row s="1642" customFormat="1" customHeight="1" ht="18.75" hidden="1">
      <c r="A20" s="2412"/>
      <c r="C20" s="963"/>
      <c r="D20" s="960" t="s">
        <v>788</v>
      </c>
      <c r="E20" s="961" t="s">
        <v>870</v>
      </c>
      <c r="F20" s="957" t="s">
        <v>305</v>
      </c>
      <c r="G20" s="957" t="s">
        <v>305</v>
      </c>
      <c r="H20" s="956" t="s">
        <v>305</v>
      </c>
      <c r="I20" s="957" t="s">
        <v>305</v>
      </c>
      <c r="J20" s="956" t="s">
        <v>305</v>
      </c>
      <c r="K20" s="955"/>
      <c r="L20" s="727"/>
      <c r="W20" s="682"/>
      <c r="X20" s="765">
        <v>0</v>
      </c>
    </row>
    <row s="1642" customFormat="1" customHeight="1" ht="33.75" hidden="1">
      <c r="A21" s="2412"/>
      <c r="C21" s="963"/>
      <c r="D21" s="960" t="s">
        <v>791</v>
      </c>
      <c r="E21" s="583" t="s">
        <v>871</v>
      </c>
      <c r="F21" s="957" t="s">
        <v>872</v>
      </c>
      <c r="G21" s="687"/>
      <c r="H21" s="113"/>
      <c r="I21" s="687"/>
      <c r="J21" s="113"/>
      <c r="K21" s="955"/>
      <c r="L21" s="727"/>
      <c r="W21" s="682"/>
      <c r="X21" s="765">
        <v>0</v>
      </c>
    </row>
    <row s="1642" customFormat="1" customHeight="1" ht="33.75" hidden="1">
      <c r="A22" s="2412"/>
      <c r="C22" s="963"/>
      <c r="D22" s="960" t="s">
        <v>794</v>
      </c>
      <c r="E22" s="583" t="s">
        <v>873</v>
      </c>
      <c r="F22" s="957" t="s">
        <v>874</v>
      </c>
      <c r="G22" s="687"/>
      <c r="H22" s="113"/>
      <c r="I22" s="687"/>
      <c r="J22" s="113"/>
      <c r="K22" s="955"/>
      <c r="L22" s="727"/>
      <c r="W22" s="682"/>
      <c r="X22" s="765">
        <v>0</v>
      </c>
    </row>
    <row s="1642" customFormat="1" customHeight="1" ht="22.5" hidden="1">
      <c r="A23" s="2412"/>
      <c r="C23" s="963"/>
      <c r="D23" s="960" t="s">
        <v>832</v>
      </c>
      <c r="E23" s="961" t="s">
        <v>875</v>
      </c>
      <c r="F23" s="957" t="s">
        <v>305</v>
      </c>
      <c r="G23" s="957" t="s">
        <v>305</v>
      </c>
      <c r="H23" s="956" t="s">
        <v>305</v>
      </c>
      <c r="I23" s="957" t="s">
        <v>305</v>
      </c>
      <c r="J23" s="956" t="s">
        <v>305</v>
      </c>
      <c r="K23" s="955"/>
      <c r="L23" s="727"/>
      <c r="W23" s="682"/>
      <c r="X23" s="765">
        <v>0</v>
      </c>
    </row>
    <row s="1642" customFormat="1" customHeight="1" ht="22.5" hidden="1">
      <c r="A24" s="2412"/>
      <c r="C24" s="963"/>
      <c r="D24" s="960" t="s">
        <v>876</v>
      </c>
      <c r="E24" s="583" t="s">
        <v>877</v>
      </c>
      <c r="F24" s="957" t="s">
        <v>878</v>
      </c>
      <c r="G24" s="687"/>
      <c r="H24" s="693"/>
      <c r="I24" s="687"/>
      <c r="J24" s="693"/>
      <c r="K24" s="955"/>
      <c r="L24" s="727"/>
      <c r="W24" s="682"/>
      <c r="X24" s="765">
        <v>0</v>
      </c>
    </row>
    <row s="1642" customFormat="1" customHeight="1" ht="22.5" hidden="1">
      <c r="A25" s="2412"/>
      <c r="C25" s="963"/>
      <c r="D25" s="960" t="s">
        <v>879</v>
      </c>
      <c r="E25" s="583" t="s">
        <v>880</v>
      </c>
      <c r="F25" s="957" t="s">
        <v>305</v>
      </c>
      <c r="G25" s="957" t="s">
        <v>305</v>
      </c>
      <c r="H25" s="956" t="s">
        <v>305</v>
      </c>
      <c r="I25" s="957" t="s">
        <v>305</v>
      </c>
      <c r="J25" s="956" t="s">
        <v>305</v>
      </c>
      <c r="K25" s="955"/>
      <c r="L25" s="727"/>
      <c r="W25" s="682"/>
      <c r="X25" s="765">
        <v>0</v>
      </c>
    </row>
    <row s="1642" customFormat="1" customHeight="1" ht="18.75" hidden="1">
      <c r="A26" s="2412"/>
      <c r="C26" s="963"/>
      <c r="D26" s="960" t="s">
        <v>881</v>
      </c>
      <c r="E26" s="560" t="s">
        <v>882</v>
      </c>
      <c r="F26" s="957" t="s">
        <v>883</v>
      </c>
      <c r="G26" s="687"/>
      <c r="H26" s="693"/>
      <c r="I26" s="687"/>
      <c r="J26" s="693"/>
      <c r="K26" s="955"/>
      <c r="L26" s="727"/>
      <c r="W26" s="682"/>
      <c r="X26" s="765">
        <v>0</v>
      </c>
    </row>
    <row s="1642" customFormat="1" customHeight="1" ht="18.75" hidden="1">
      <c r="A27" s="2412"/>
      <c r="C27" s="963"/>
      <c r="D27" s="960" t="s">
        <v>884</v>
      </c>
      <c r="E27" s="560" t="s">
        <v>885</v>
      </c>
      <c r="F27" s="957" t="s">
        <v>886</v>
      </c>
      <c r="G27" s="687"/>
      <c r="H27" s="693"/>
      <c r="I27" s="687"/>
      <c r="J27" s="693"/>
      <c r="K27" s="955"/>
      <c r="L27" s="727"/>
      <c r="W27" s="682"/>
      <c r="X27" s="765">
        <v>0</v>
      </c>
    </row>
    <row s="1642" customFormat="1" customHeight="1" ht="18.75" hidden="1">
      <c r="A28" s="2412"/>
      <c r="C28" s="963"/>
      <c r="D28" s="960" t="s">
        <v>887</v>
      </c>
      <c r="E28" s="583" t="s">
        <v>888</v>
      </c>
      <c r="F28" s="957" t="s">
        <v>305</v>
      </c>
      <c r="G28" s="957" t="s">
        <v>305</v>
      </c>
      <c r="H28" s="956" t="s">
        <v>305</v>
      </c>
      <c r="I28" s="957" t="s">
        <v>305</v>
      </c>
      <c r="J28" s="956" t="s">
        <v>305</v>
      </c>
      <c r="K28" s="955"/>
      <c r="L28" s="727"/>
      <c r="W28" s="682"/>
      <c r="X28" s="765">
        <v>0</v>
      </c>
    </row>
    <row s="1642" customFormat="1" customHeight="1" ht="18.75" hidden="1">
      <c r="A29" s="2412"/>
      <c r="C29" s="963"/>
      <c r="D29" s="960" t="s">
        <v>889</v>
      </c>
      <c r="E29" s="560" t="s">
        <v>882</v>
      </c>
      <c r="F29" s="957" t="s">
        <v>890</v>
      </c>
      <c r="G29" s="687"/>
      <c r="H29" s="693"/>
      <c r="I29" s="687"/>
      <c r="J29" s="693"/>
      <c r="K29" s="955"/>
      <c r="L29" s="727"/>
      <c r="W29" s="682"/>
      <c r="X29" s="765">
        <v>0</v>
      </c>
    </row>
    <row s="1642" customFormat="1" customHeight="1" ht="18.75" hidden="1">
      <c r="A30" s="2412"/>
      <c r="C30" s="963"/>
      <c r="D30" s="960" t="s">
        <v>891</v>
      </c>
      <c r="E30" s="560" t="s">
        <v>892</v>
      </c>
      <c r="F30" s="957" t="s">
        <v>893</v>
      </c>
      <c r="G30" s="687"/>
      <c r="H30" s="693"/>
      <c r="I30" s="687"/>
      <c r="J30" s="693"/>
      <c r="K30" s="955"/>
      <c r="L30" s="727"/>
      <c r="W30" s="682"/>
      <c r="X30" s="765">
        <v>0</v>
      </c>
    </row>
    <row customHeight="1" ht="126.75" hidden="1">
      <c r="A31" s="2412"/>
      <c r="D31" s="960" t="s">
        <v>111</v>
      </c>
      <c r="E31" s="286" t="s">
        <v>894</v>
      </c>
      <c r="F31" s="667" t="s">
        <v>557</v>
      </c>
      <c r="G31" s="564"/>
      <c r="H31" s="669"/>
      <c r="I31" s="564"/>
      <c r="J31" s="669"/>
      <c r="K31" s="296" t="s">
        <v>895</v>
      </c>
      <c r="L31" s="727"/>
      <c r="X31" s="512">
        <v>0</v>
      </c>
    </row>
    <row customHeight="1" ht="56.25" hidden="1">
      <c r="A32" s="2412"/>
      <c r="D32" s="960" t="s">
        <v>91</v>
      </c>
      <c r="E32" s="286" t="s">
        <v>896</v>
      </c>
      <c r="F32" s="546" t="s">
        <v>866</v>
      </c>
      <c r="G32" s="564"/>
      <c r="H32" s="669"/>
      <c r="I32" s="564"/>
      <c r="J32" s="669"/>
      <c r="K32" s="296" t="s">
        <v>897</v>
      </c>
      <c r="L32" s="727"/>
      <c r="X32" s="512">
        <v>0</v>
      </c>
    </row>
    <row customHeight="1" ht="11.25" hidden="1">
      <c r="A33" s="2412"/>
      <c r="E33" s="671"/>
      <c r="F33" s="188"/>
      <c r="G33" s="188"/>
      <c r="H33" s="188"/>
      <c r="I33" s="188"/>
      <c r="J33" s="188"/>
      <c r="K33" s="188"/>
      <c r="X33" s="512">
        <v>0</v>
      </c>
    </row>
    <row customHeight="1" ht="12.75" hidden="1">
      <c r="A34" s="2412"/>
      <c r="D34" s="72">
        <v>1</v>
      </c>
      <c r="E34" s="342" t="s">
        <v>898</v>
      </c>
      <c r="X34" s="512">
        <v>0</v>
      </c>
    </row>
    <row customHeight="1" ht="11.25" hidden="1">
      <c r="A35" s="2412"/>
      <c r="D35" s="376"/>
      <c r="E35" s="342" t="s">
        <v>899</v>
      </c>
      <c r="X35" s="512">
        <v>0</v>
      </c>
    </row>
    <row s="1642" customFormat="1" customHeight="1" ht="11.549999999999999">
      <c r="A36" s="1040"/>
      <c r="B36" s="525"/>
      <c r="D36" s="1041"/>
      <c r="E36" s="1042"/>
      <c r="X36" s="516">
        <v>11</v>
      </c>
    </row>
    <row s="1642" customFormat="1" customHeight="1" ht="22.5">
      <c r="A37" s="2412" t="s">
        <v>900</v>
      </c>
      <c r="B37" s="518"/>
      <c r="D37" s="960">
        <v>1</v>
      </c>
      <c r="E37" s="714" t="s">
        <v>901</v>
      </c>
      <c r="F37" s="667" t="s">
        <v>856</v>
      </c>
      <c r="G37" s="564"/>
      <c r="H37" s="526"/>
      <c r="I37" s="564">
        <v>0</v>
      </c>
      <c r="J37" s="526"/>
      <c r="K37" s="296" t="s">
        <v>902</v>
      </c>
      <c r="X37" s="765">
        <v>0</v>
      </c>
    </row>
    <row s="1642" customFormat="1" customHeight="1" ht="22.5">
      <c r="A38" s="2412"/>
      <c r="B38" s="518"/>
      <c r="D38" s="676" t="s">
        <v>110</v>
      </c>
      <c r="E38" s="1039" t="s">
        <v>903</v>
      </c>
      <c r="F38" s="1043" t="s">
        <v>545</v>
      </c>
      <c r="G38" s="1043" t="s">
        <v>545</v>
      </c>
      <c r="H38" s="1037"/>
      <c r="I38" s="1043" t="s">
        <v>545</v>
      </c>
      <c r="J38" s="1037"/>
      <c r="K38" s="1038"/>
      <c r="X38" s="765">
        <v>0</v>
      </c>
    </row>
    <row s="1642" customFormat="1" customHeight="1" ht="33.75">
      <c r="A39" s="2412"/>
      <c r="B39" s="518"/>
      <c r="D39" s="672" t="s">
        <v>740</v>
      </c>
      <c r="E39" s="730" t="s">
        <v>904</v>
      </c>
      <c r="F39" s="667" t="s">
        <v>905</v>
      </c>
      <c r="G39" s="675"/>
      <c r="H39" s="1030"/>
      <c r="I39" s="675">
        <v>0</v>
      </c>
      <c r="J39" s="1030"/>
      <c r="K39" s="296" t="s">
        <v>906</v>
      </c>
      <c r="X39" s="765">
        <v>0</v>
      </c>
    </row>
    <row s="1642" customFormat="1" customHeight="1" ht="33.75">
      <c r="A40" s="2412"/>
      <c r="B40" s="518"/>
      <c r="D40" s="672" t="s">
        <v>743</v>
      </c>
      <c r="E40" s="730" t="s">
        <v>907</v>
      </c>
      <c r="F40" s="1034" t="s">
        <v>908</v>
      </c>
      <c r="G40" s="748"/>
      <c r="H40" s="1030"/>
      <c r="I40" s="748">
        <v>0</v>
      </c>
      <c r="J40" s="1030"/>
      <c r="K40" s="296" t="s">
        <v>909</v>
      </c>
      <c r="X40" s="765">
        <v>0</v>
      </c>
    </row>
    <row s="1642" customFormat="1" customHeight="1" ht="22.5">
      <c r="A41" s="2412"/>
      <c r="B41" s="518"/>
      <c r="D41" s="672" t="s">
        <v>89</v>
      </c>
      <c r="E41" s="729" t="s">
        <v>910</v>
      </c>
      <c r="F41" s="667" t="s">
        <v>545</v>
      </c>
      <c r="G41" s="667" t="s">
        <v>545</v>
      </c>
      <c r="H41" s="1031"/>
      <c r="I41" s="667" t="s">
        <v>545</v>
      </c>
      <c r="J41" s="1031"/>
      <c r="K41" s="309"/>
      <c r="X41" s="765">
        <v>0</v>
      </c>
    </row>
    <row s="1642" customFormat="1" customHeight="1" ht="45">
      <c r="A42" s="2412"/>
      <c r="B42" s="518"/>
      <c r="D42" s="672" t="s">
        <v>323</v>
      </c>
      <c r="E42" s="730" t="s">
        <v>911</v>
      </c>
      <c r="F42" s="667" t="s">
        <v>557</v>
      </c>
      <c r="G42" s="564"/>
      <c r="H42" s="1031"/>
      <c r="I42" s="564">
        <v>0</v>
      </c>
      <c r="J42" s="1031"/>
      <c r="K42" s="309" t="s">
        <v>912</v>
      </c>
      <c r="X42" s="765">
        <v>0</v>
      </c>
    </row>
    <row s="1642" customFormat="1" customHeight="1" ht="45">
      <c r="A43" s="2412"/>
      <c r="B43" s="518"/>
      <c r="D43" s="672" t="s">
        <v>331</v>
      </c>
      <c r="E43" s="674" t="s">
        <v>913</v>
      </c>
      <c r="F43" s="1035" t="s">
        <v>557</v>
      </c>
      <c r="G43" s="749"/>
      <c r="H43" s="1030"/>
      <c r="I43" s="749">
        <v>0</v>
      </c>
      <c r="J43" s="1030"/>
      <c r="K43" s="309" t="s">
        <v>914</v>
      </c>
      <c r="X43" s="765">
        <v>0</v>
      </c>
    </row>
    <row s="1642" customFormat="1" customHeight="1" ht="22.5">
      <c r="A44" s="2412"/>
      <c r="B44" s="518"/>
      <c r="D44" s="672" t="s">
        <v>90</v>
      </c>
      <c r="E44" s="673" t="s">
        <v>915</v>
      </c>
      <c r="F44" s="667" t="s">
        <v>905</v>
      </c>
      <c r="G44" s="675"/>
      <c r="H44" s="1030"/>
      <c r="I44" s="675">
        <v>312</v>
      </c>
      <c r="J44" s="1030"/>
      <c r="K44" s="296"/>
      <c r="X44" s="765">
        <v>0</v>
      </c>
    </row>
    <row s="1642" customFormat="1" customHeight="1" ht="11.25">
      <c r="A45" s="2412"/>
      <c r="B45" s="518"/>
      <c r="D45" s="672" t="s">
        <v>788</v>
      </c>
      <c r="E45" s="674" t="s">
        <v>916</v>
      </c>
      <c r="F45" s="667" t="s">
        <v>905</v>
      </c>
      <c r="G45" s="675"/>
      <c r="H45" s="1030"/>
      <c r="I45" s="675">
        <v>156</v>
      </c>
      <c r="J45" s="1030"/>
      <c r="K45" s="296"/>
      <c r="X45" s="765">
        <v>0</v>
      </c>
    </row>
    <row s="1642" customFormat="1" customHeight="1" ht="11.25">
      <c r="A46" s="2412"/>
      <c r="B46" s="518"/>
      <c r="D46" s="672" t="s">
        <v>832</v>
      </c>
      <c r="E46" s="674" t="s">
        <v>917</v>
      </c>
      <c r="F46" s="667" t="s">
        <v>905</v>
      </c>
      <c r="G46" s="675"/>
      <c r="H46" s="1030"/>
      <c r="I46" s="675">
        <v>156</v>
      </c>
      <c r="J46" s="1030"/>
      <c r="K46" s="296"/>
      <c r="X46" s="765">
        <v>0</v>
      </c>
    </row>
    <row s="1642" customFormat="1" customHeight="1" ht="11.25">
      <c r="A47" s="2412"/>
      <c r="B47" s="518"/>
      <c r="D47" s="672" t="s">
        <v>835</v>
      </c>
      <c r="E47" s="674" t="s">
        <v>918</v>
      </c>
      <c r="F47" s="667" t="s">
        <v>905</v>
      </c>
      <c r="G47" s="675"/>
      <c r="H47" s="1030"/>
      <c r="I47" s="675">
        <v>0</v>
      </c>
      <c r="J47" s="1030"/>
      <c r="K47" s="296"/>
      <c r="X47" s="765">
        <v>0</v>
      </c>
    </row>
    <row s="1642" customFormat="1" customHeight="1" ht="11.25">
      <c r="A48" s="2412"/>
      <c r="B48" s="518"/>
      <c r="D48" s="672" t="s">
        <v>919</v>
      </c>
      <c r="E48" s="678" t="s">
        <v>920</v>
      </c>
      <c r="F48" s="667" t="s">
        <v>905</v>
      </c>
      <c r="G48" s="675"/>
      <c r="H48" s="1030"/>
      <c r="I48" s="675">
        <v>0</v>
      </c>
      <c r="J48" s="1030"/>
      <c r="K48" s="296"/>
      <c r="X48" s="765">
        <v>0</v>
      </c>
    </row>
    <row s="1642" customFormat="1" customHeight="1" ht="11.25">
      <c r="A49" s="2412"/>
      <c r="B49" s="518"/>
      <c r="D49" s="672" t="s">
        <v>921</v>
      </c>
      <c r="E49" s="678" t="s">
        <v>922</v>
      </c>
      <c r="F49" s="667" t="s">
        <v>905</v>
      </c>
      <c r="G49" s="675"/>
      <c r="H49" s="1030"/>
      <c r="I49" s="675">
        <v>0</v>
      </c>
      <c r="J49" s="1030"/>
      <c r="K49" s="296"/>
      <c r="X49" s="765">
        <v>0</v>
      </c>
    </row>
    <row s="1642" customFormat="1" customHeight="1" ht="11.25">
      <c r="A50" s="2412"/>
      <c r="B50" s="518"/>
      <c r="D50" s="672" t="s">
        <v>923</v>
      </c>
      <c r="E50" s="674" t="s">
        <v>924</v>
      </c>
      <c r="F50" s="667" t="s">
        <v>905</v>
      </c>
      <c r="G50" s="675"/>
      <c r="H50" s="1030"/>
      <c r="I50" s="675">
        <v>156</v>
      </c>
      <c r="J50" s="1030"/>
      <c r="K50" s="296"/>
      <c r="X50" s="765">
        <v>0</v>
      </c>
    </row>
    <row s="1642" customFormat="1" customHeight="1" ht="11.25">
      <c r="A51" s="2412"/>
      <c r="B51" s="518"/>
      <c r="D51" s="672" t="s">
        <v>925</v>
      </c>
      <c r="E51" s="674" t="s">
        <v>926</v>
      </c>
      <c r="F51" s="667" t="s">
        <v>905</v>
      </c>
      <c r="G51" s="675"/>
      <c r="H51" s="1030"/>
      <c r="I51" s="675">
        <v>156</v>
      </c>
      <c r="J51" s="1030"/>
      <c r="K51" s="296"/>
      <c r="X51" s="765">
        <v>0</v>
      </c>
    </row>
    <row s="1642" customFormat="1" customHeight="1" ht="45">
      <c r="A52" s="2412"/>
      <c r="B52" s="518"/>
      <c r="D52" s="672" t="s">
        <v>111</v>
      </c>
      <c r="E52" s="673" t="s">
        <v>927</v>
      </c>
      <c r="F52" s="667" t="s">
        <v>905</v>
      </c>
      <c r="G52" s="675"/>
      <c r="H52" s="1030"/>
      <c r="I52" s="675">
        <v>107</v>
      </c>
      <c r="J52" s="1030"/>
      <c r="K52" s="296"/>
      <c r="X52" s="765">
        <v>0</v>
      </c>
    </row>
    <row s="1642" customFormat="1" customHeight="1" ht="11.25">
      <c r="A53" s="2412"/>
      <c r="B53" s="518"/>
      <c r="D53" s="672" t="s">
        <v>312</v>
      </c>
      <c r="E53" s="674" t="s">
        <v>916</v>
      </c>
      <c r="F53" s="667" t="s">
        <v>905</v>
      </c>
      <c r="G53" s="675"/>
      <c r="H53" s="1030"/>
      <c r="I53" s="675">
        <v>26</v>
      </c>
      <c r="J53" s="1030"/>
      <c r="K53" s="296"/>
      <c r="X53" s="765">
        <v>0</v>
      </c>
    </row>
    <row s="1642" customFormat="1" customHeight="1" ht="11.25">
      <c r="A54" s="2412"/>
      <c r="B54" s="518"/>
      <c r="D54" s="672" t="s">
        <v>928</v>
      </c>
      <c r="E54" s="674" t="s">
        <v>917</v>
      </c>
      <c r="F54" s="667" t="s">
        <v>905</v>
      </c>
      <c r="G54" s="675"/>
      <c r="H54" s="1030"/>
      <c r="I54" s="675">
        <v>81</v>
      </c>
      <c r="J54" s="1030"/>
      <c r="K54" s="296"/>
      <c r="X54" s="765">
        <v>0</v>
      </c>
    </row>
    <row s="1642" customFormat="1" customHeight="1" ht="11.25">
      <c r="A55" s="2412"/>
      <c r="B55" s="518"/>
      <c r="D55" s="672" t="s">
        <v>929</v>
      </c>
      <c r="E55" s="674" t="s">
        <v>918</v>
      </c>
      <c r="F55" s="667" t="s">
        <v>905</v>
      </c>
      <c r="G55" s="675"/>
      <c r="H55" s="1030"/>
      <c r="I55" s="675">
        <v>0</v>
      </c>
      <c r="J55" s="1030"/>
      <c r="K55" s="296"/>
      <c r="X55" s="765">
        <v>0</v>
      </c>
    </row>
    <row s="1642" customFormat="1" customHeight="1" ht="11.25">
      <c r="A56" s="2412"/>
      <c r="B56" s="518"/>
      <c r="D56" s="672" t="s">
        <v>930</v>
      </c>
      <c r="E56" s="678" t="s">
        <v>920</v>
      </c>
      <c r="F56" s="667" t="s">
        <v>905</v>
      </c>
      <c r="G56" s="675"/>
      <c r="H56" s="1030"/>
      <c r="I56" s="675">
        <v>0</v>
      </c>
      <c r="J56" s="1030"/>
      <c r="K56" s="296"/>
      <c r="X56" s="765">
        <v>0</v>
      </c>
    </row>
    <row s="1642" customFormat="1" customHeight="1" ht="11.25">
      <c r="A57" s="2412"/>
      <c r="B57" s="518"/>
      <c r="D57" s="672" t="s">
        <v>931</v>
      </c>
      <c r="E57" s="678" t="s">
        <v>922</v>
      </c>
      <c r="F57" s="667" t="s">
        <v>905</v>
      </c>
      <c r="G57" s="675"/>
      <c r="H57" s="1030"/>
      <c r="I57" s="675">
        <v>0</v>
      </c>
      <c r="J57" s="1030"/>
      <c r="K57" s="296"/>
      <c r="X57" s="765">
        <v>0</v>
      </c>
    </row>
    <row s="1642" customFormat="1" customHeight="1" ht="11.25">
      <c r="A58" s="2412"/>
      <c r="B58" s="518"/>
      <c r="D58" s="672" t="s">
        <v>932</v>
      </c>
      <c r="E58" s="674" t="s">
        <v>924</v>
      </c>
      <c r="F58" s="667" t="s">
        <v>905</v>
      </c>
      <c r="G58" s="675"/>
      <c r="H58" s="1030"/>
      <c r="I58" s="675">
        <v>0</v>
      </c>
      <c r="J58" s="1030"/>
      <c r="K58" s="296"/>
      <c r="X58" s="765">
        <v>0</v>
      </c>
    </row>
    <row s="1642" customFormat="1" customHeight="1" ht="11.25">
      <c r="A59" s="2412"/>
      <c r="B59" s="518"/>
      <c r="D59" s="672" t="s">
        <v>933</v>
      </c>
      <c r="E59" s="674" t="s">
        <v>926</v>
      </c>
      <c r="F59" s="667" t="s">
        <v>905</v>
      </c>
      <c r="G59" s="675"/>
      <c r="H59" s="1030"/>
      <c r="I59" s="675">
        <v>0</v>
      </c>
      <c r="J59" s="1030"/>
      <c r="K59" s="296"/>
      <c r="X59" s="765">
        <v>0</v>
      </c>
    </row>
    <row s="1642" customFormat="1" customHeight="1" ht="33.75">
      <c r="A60" s="2412"/>
      <c r="B60" s="518"/>
      <c r="D60" s="672" t="s">
        <v>91</v>
      </c>
      <c r="E60" s="673" t="s">
        <v>934</v>
      </c>
      <c r="F60" s="728" t="s">
        <v>557</v>
      </c>
      <c r="G60" s="749"/>
      <c r="H60" s="1030"/>
      <c r="I60" s="749">
        <v>0</v>
      </c>
      <c r="J60" s="1030"/>
      <c r="K60" s="309" t="s">
        <v>935</v>
      </c>
      <c r="X60" s="765">
        <v>0</v>
      </c>
    </row>
    <row s="1642" customFormat="1" customHeight="1" ht="33.75">
      <c r="A61" s="2412"/>
      <c r="B61" s="518"/>
      <c r="D61" s="672" t="s">
        <v>92</v>
      </c>
      <c r="E61" s="673" t="s">
        <v>936</v>
      </c>
      <c r="F61" s="733" t="s">
        <v>866</v>
      </c>
      <c r="G61" s="675"/>
      <c r="H61" s="1030"/>
      <c r="I61" s="675">
        <v>10</v>
      </c>
      <c r="J61" s="1030"/>
      <c r="K61" s="296"/>
      <c r="X61" s="765">
        <v>0</v>
      </c>
    </row>
    <row s="1642" customFormat="1" customHeight="1" ht="22.5">
      <c r="A62" s="2412"/>
      <c r="B62" s="518" t="s">
        <v>607</v>
      </c>
      <c r="D62" s="672" t="s">
        <v>112</v>
      </c>
      <c r="E62" s="673" t="s">
        <v>937</v>
      </c>
      <c r="F62" s="733" t="s">
        <v>305</v>
      </c>
      <c r="G62" s="389"/>
      <c r="H62" s="1030"/>
      <c r="I62" s="2652" t="s">
        <v>938</v>
      </c>
      <c r="J62" s="1030"/>
      <c r="K62" s="296" t="s">
        <v>660</v>
      </c>
      <c r="X62" s="765">
        <v>0</v>
      </c>
    </row>
    <row s="1642" customFormat="1" customHeight="1" ht="45">
      <c r="A63" s="2412"/>
      <c r="B63" s="518" t="s">
        <v>607</v>
      </c>
      <c r="D63" s="672" t="s">
        <v>939</v>
      </c>
      <c r="E63" s="674" t="s">
        <v>940</v>
      </c>
      <c r="F63" s="728" t="s">
        <v>305</v>
      </c>
      <c r="G63" s="389"/>
      <c r="H63" s="1030"/>
      <c r="I63" s="2652" t="s">
        <v>938</v>
      </c>
      <c r="J63" s="1030"/>
      <c r="K63" s="296" t="s">
        <v>660</v>
      </c>
      <c r="X63" s="765">
        <v>0</v>
      </c>
    </row>
    <row s="1642" customFormat="1" customHeight="1" ht="11.549999999999999">
      <c r="A64" s="1040"/>
      <c r="B64" s="525"/>
      <c r="D64" s="1041"/>
      <c r="E64" s="1042"/>
      <c r="X64" s="516">
        <v>11</v>
      </c>
    </row>
    <row s="1642" customFormat="1" customHeight="1" ht="22.5" hidden="1">
      <c r="A65" s="2412" t="s">
        <v>941</v>
      </c>
      <c r="B65" s="518"/>
      <c r="D65" s="672">
        <v>1</v>
      </c>
      <c r="E65" s="751" t="s">
        <v>942</v>
      </c>
      <c r="F65" s="747" t="s">
        <v>856</v>
      </c>
      <c r="G65" s="748"/>
      <c r="H65" s="1036"/>
      <c r="I65" s="748"/>
      <c r="J65" s="1036"/>
      <c r="K65" s="308" t="s">
        <v>943</v>
      </c>
      <c r="X65" s="765">
        <v>0</v>
      </c>
    </row>
    <row s="1642" customFormat="1" customHeight="1" ht="56.25" hidden="1">
      <c r="A66" s="2412"/>
      <c r="B66" s="518"/>
      <c r="D66" s="750" t="s">
        <v>110</v>
      </c>
      <c r="E66" s="714" t="s">
        <v>944</v>
      </c>
      <c r="F66" s="667" t="s">
        <v>545</v>
      </c>
      <c r="G66" s="667" t="s">
        <v>545</v>
      </c>
      <c r="H66" s="526"/>
      <c r="I66" s="667" t="s">
        <v>545</v>
      </c>
      <c r="J66" s="526"/>
      <c r="K66" s="296"/>
      <c r="X66" s="765">
        <v>0</v>
      </c>
    </row>
    <row s="1642" customFormat="1" customHeight="1" ht="33.75" hidden="1">
      <c r="A67" s="2412"/>
      <c r="B67" s="518"/>
      <c r="D67" s="750" t="s">
        <v>737</v>
      </c>
      <c r="E67" s="961" t="s">
        <v>945</v>
      </c>
      <c r="F67" s="667" t="s">
        <v>908</v>
      </c>
      <c r="G67" s="734"/>
      <c r="H67" s="526"/>
      <c r="I67" s="734"/>
      <c r="J67" s="526"/>
      <c r="K67" s="296"/>
      <c r="X67" s="765">
        <v>0</v>
      </c>
    </row>
    <row s="1642" customFormat="1" customHeight="1" ht="22.5" hidden="1">
      <c r="A68" s="2412"/>
      <c r="B68" s="518"/>
      <c r="D68" s="750" t="s">
        <v>306</v>
      </c>
      <c r="E68" s="961" t="s">
        <v>946</v>
      </c>
      <c r="F68" s="667" t="s">
        <v>908</v>
      </c>
      <c r="G68" s="734"/>
      <c r="H68" s="526"/>
      <c r="I68" s="734"/>
      <c r="J68" s="526"/>
      <c r="K68" s="296"/>
      <c r="X68" s="765">
        <v>0</v>
      </c>
    </row>
    <row s="1642" customFormat="1" customHeight="1" ht="22.5" hidden="1">
      <c r="A69" s="2412"/>
      <c r="B69" s="518"/>
      <c r="D69" s="750" t="s">
        <v>309</v>
      </c>
      <c r="E69" s="961" t="s">
        <v>947</v>
      </c>
      <c r="F69" s="728" t="s">
        <v>557</v>
      </c>
      <c r="G69" s="749"/>
      <c r="H69" s="526"/>
      <c r="I69" s="749"/>
      <c r="J69" s="526"/>
      <c r="K69" s="296"/>
      <c r="X69" s="765">
        <v>0</v>
      </c>
    </row>
    <row s="1642" customFormat="1" customHeight="1" ht="22.5" hidden="1">
      <c r="A70" s="2412"/>
      <c r="B70" s="518"/>
      <c r="D70" s="750" t="s">
        <v>757</v>
      </c>
      <c r="E70" s="961" t="s">
        <v>948</v>
      </c>
      <c r="F70" s="728" t="s">
        <v>557</v>
      </c>
      <c r="G70" s="749"/>
      <c r="H70" s="526"/>
      <c r="I70" s="749"/>
      <c r="J70" s="526"/>
      <c r="K70" s="296"/>
      <c r="X70" s="765">
        <v>0</v>
      </c>
    </row>
    <row s="1642" customFormat="1" customHeight="1" ht="22.5" hidden="1">
      <c r="A71" s="2412"/>
      <c r="B71" s="518"/>
      <c r="D71" s="672" t="s">
        <v>89</v>
      </c>
      <c r="E71" s="673" t="s">
        <v>949</v>
      </c>
      <c r="F71" s="667" t="s">
        <v>908</v>
      </c>
      <c r="G71" s="564"/>
      <c r="H71" s="1037"/>
      <c r="I71" s="564"/>
      <c r="J71" s="1037"/>
      <c r="K71" s="309"/>
      <c r="X71" s="765">
        <v>0</v>
      </c>
    </row>
    <row s="1642" customFormat="1" customHeight="1" ht="56.25" hidden="1">
      <c r="A72" s="2412"/>
      <c r="B72" s="518"/>
      <c r="D72" s="672" t="s">
        <v>90</v>
      </c>
      <c r="E72" s="673" t="s">
        <v>950</v>
      </c>
      <c r="F72" s="728" t="s">
        <v>557</v>
      </c>
      <c r="G72" s="749"/>
      <c r="H72" s="1030"/>
      <c r="I72" s="749"/>
      <c r="J72" s="1030"/>
      <c r="K72" s="309"/>
      <c r="X72" s="765">
        <v>0</v>
      </c>
    </row>
    <row s="1642" customFormat="1" customHeight="1" ht="33.75" hidden="1">
      <c r="A73" s="2412"/>
      <c r="B73" s="518"/>
      <c r="D73" s="672" t="s">
        <v>111</v>
      </c>
      <c r="E73" s="673" t="s">
        <v>951</v>
      </c>
      <c r="F73" s="733" t="s">
        <v>866</v>
      </c>
      <c r="G73" s="675"/>
      <c r="H73" s="1030"/>
      <c r="I73" s="675"/>
      <c r="J73" s="1030"/>
      <c r="K73" s="296"/>
      <c r="X73" s="765">
        <v>0</v>
      </c>
    </row>
    <row s="1642" customFormat="1" customHeight="1" ht="22.5" hidden="1">
      <c r="A74" s="2412"/>
      <c r="B74" s="518" t="s">
        <v>607</v>
      </c>
      <c r="D74" s="672" t="s">
        <v>91</v>
      </c>
      <c r="E74" s="673" t="s">
        <v>952</v>
      </c>
      <c r="F74" s="733" t="s">
        <v>305</v>
      </c>
      <c r="G74" s="389"/>
      <c r="H74" s="1030"/>
      <c r="I74" s="389"/>
      <c r="J74" s="1030"/>
      <c r="K74" s="296" t="s">
        <v>660</v>
      </c>
      <c r="X74" s="765">
        <v>0</v>
      </c>
    </row>
    <row s="1642" customFormat="1" customHeight="1" ht="45" hidden="1">
      <c r="A75" s="2412"/>
      <c r="B75" s="518" t="s">
        <v>607</v>
      </c>
      <c r="D75" s="672" t="s">
        <v>681</v>
      </c>
      <c r="E75" s="674" t="s">
        <v>953</v>
      </c>
      <c r="F75" s="728" t="s">
        <v>305</v>
      </c>
      <c r="G75" s="389"/>
      <c r="H75" s="1030"/>
      <c r="I75" s="389"/>
      <c r="J75" s="1030"/>
      <c r="K75" s="296" t="s">
        <v>660</v>
      </c>
      <c r="X75" s="765">
        <v>0</v>
      </c>
    </row>
    <row s="1642" customFormat="1" customHeight="1" ht="11.549999999999999">
      <c r="A76" s="1040"/>
      <c r="B76" s="525"/>
      <c r="D76" s="1041"/>
      <c r="E76" s="1042"/>
      <c r="X76" s="516">
        <v>11</v>
      </c>
    </row>
    <row s="1642" customFormat="1" customHeight="1" ht="11.25" hidden="1">
      <c r="A77" s="2412" t="s">
        <v>954</v>
      </c>
      <c r="B77" s="518"/>
      <c r="D77" s="672">
        <v>1</v>
      </c>
      <c r="E77" s="673" t="s">
        <v>955</v>
      </c>
      <c r="F77" s="728" t="s">
        <v>856</v>
      </c>
      <c r="G77" s="731"/>
      <c r="H77" s="1030"/>
      <c r="I77" s="731"/>
      <c r="J77" s="1030"/>
      <c r="K77" s="296" t="s">
        <v>956</v>
      </c>
      <c r="X77" s="765">
        <v>0</v>
      </c>
    </row>
    <row s="1642" customFormat="1" customHeight="1" ht="11.25" hidden="1">
      <c r="A78" s="2412"/>
      <c r="B78" s="518"/>
      <c r="D78" s="672" t="s">
        <v>110</v>
      </c>
      <c r="E78" s="673" t="s">
        <v>957</v>
      </c>
      <c r="F78" s="728" t="s">
        <v>856</v>
      </c>
      <c r="G78" s="731"/>
      <c r="H78" s="1030"/>
      <c r="I78" s="731"/>
      <c r="J78" s="1030"/>
      <c r="K78" s="296" t="s">
        <v>958</v>
      </c>
      <c r="X78" s="765">
        <v>0</v>
      </c>
    </row>
    <row s="1642" customFormat="1" customHeight="1" ht="22.5" hidden="1">
      <c r="A79" s="2412"/>
      <c r="B79" s="518"/>
      <c r="D79" s="672" t="s">
        <v>89</v>
      </c>
      <c r="E79" s="729" t="s">
        <v>959</v>
      </c>
      <c r="F79" s="667" t="s">
        <v>905</v>
      </c>
      <c r="G79" s="731"/>
      <c r="H79" s="1030"/>
      <c r="I79" s="731"/>
      <c r="J79" s="1030"/>
      <c r="K79" s="296" t="s">
        <v>960</v>
      </c>
      <c r="X79" s="765">
        <v>0</v>
      </c>
    </row>
    <row s="1642" customFormat="1" customHeight="1" ht="11.25" hidden="1">
      <c r="A80" s="2412"/>
      <c r="B80" s="518"/>
      <c r="D80" s="672" t="s">
        <v>323</v>
      </c>
      <c r="E80" s="730" t="s">
        <v>961</v>
      </c>
      <c r="F80" s="667" t="s">
        <v>905</v>
      </c>
      <c r="G80" s="731"/>
      <c r="H80" s="1030"/>
      <c r="I80" s="731"/>
      <c r="J80" s="1030"/>
      <c r="K80" s="296"/>
      <c r="X80" s="765">
        <v>0</v>
      </c>
    </row>
    <row s="1642" customFormat="1" customHeight="1" ht="11.25" hidden="1">
      <c r="A81" s="2412"/>
      <c r="B81" s="518"/>
      <c r="D81" s="672" t="s">
        <v>331</v>
      </c>
      <c r="E81" s="730" t="s">
        <v>962</v>
      </c>
      <c r="F81" s="667" t="s">
        <v>905</v>
      </c>
      <c r="G81" s="731"/>
      <c r="H81" s="1030"/>
      <c r="I81" s="731"/>
      <c r="J81" s="1030"/>
      <c r="K81" s="296"/>
      <c r="X81" s="765">
        <v>0</v>
      </c>
    </row>
    <row s="1642" customFormat="1" customHeight="1" ht="11.25" hidden="1">
      <c r="A82" s="2412"/>
      <c r="B82" s="518"/>
      <c r="D82" s="672" t="s">
        <v>333</v>
      </c>
      <c r="E82" s="730" t="s">
        <v>963</v>
      </c>
      <c r="F82" s="667" t="s">
        <v>905</v>
      </c>
      <c r="G82" s="731"/>
      <c r="H82" s="1030"/>
      <c r="I82" s="731"/>
      <c r="J82" s="1030"/>
      <c r="K82" s="296"/>
      <c r="X82" s="765">
        <v>0</v>
      </c>
    </row>
    <row s="1642" customFormat="1" customHeight="1" ht="11.25" hidden="1">
      <c r="A83" s="2412"/>
      <c r="B83" s="518"/>
      <c r="D83" s="672" t="s">
        <v>335</v>
      </c>
      <c r="E83" s="730" t="s">
        <v>964</v>
      </c>
      <c r="F83" s="667" t="s">
        <v>905</v>
      </c>
      <c r="G83" s="731"/>
      <c r="H83" s="1030"/>
      <c r="I83" s="731"/>
      <c r="J83" s="1030"/>
      <c r="K83" s="296"/>
      <c r="X83" s="765">
        <v>0</v>
      </c>
    </row>
    <row s="1642" customFormat="1" customHeight="1" ht="11.25" hidden="1">
      <c r="A84" s="2412"/>
      <c r="B84" s="518"/>
      <c r="D84" s="672" t="s">
        <v>965</v>
      </c>
      <c r="E84" s="730" t="s">
        <v>966</v>
      </c>
      <c r="F84" s="667" t="s">
        <v>905</v>
      </c>
      <c r="G84" s="731"/>
      <c r="H84" s="1030"/>
      <c r="I84" s="731"/>
      <c r="J84" s="1030"/>
      <c r="K84" s="296"/>
      <c r="X84" s="765">
        <v>0</v>
      </c>
    </row>
    <row s="1642" customFormat="1" customHeight="1" ht="11.25" hidden="1">
      <c r="A85" s="2412"/>
      <c r="B85" s="518"/>
      <c r="D85" s="672" t="s">
        <v>967</v>
      </c>
      <c r="E85" s="730" t="s">
        <v>968</v>
      </c>
      <c r="F85" s="667" t="s">
        <v>905</v>
      </c>
      <c r="G85" s="731"/>
      <c r="H85" s="1030"/>
      <c r="I85" s="731"/>
      <c r="J85" s="1030"/>
      <c r="K85" s="296"/>
      <c r="X85" s="765">
        <v>0</v>
      </c>
    </row>
    <row s="1642" customFormat="1" customHeight="1" ht="11.25" hidden="1">
      <c r="A86" s="2412"/>
      <c r="B86" s="518"/>
      <c r="D86" s="672" t="s">
        <v>969</v>
      </c>
      <c r="E86" s="730" t="s">
        <v>970</v>
      </c>
      <c r="F86" s="667" t="s">
        <v>905</v>
      </c>
      <c r="G86" s="731"/>
      <c r="H86" s="1030"/>
      <c r="I86" s="731"/>
      <c r="J86" s="1030"/>
      <c r="K86" s="296"/>
      <c r="X86" s="765">
        <v>0</v>
      </c>
    </row>
    <row s="1642" customFormat="1" customHeight="1" ht="45" hidden="1">
      <c r="A87" s="2412"/>
      <c r="B87" s="518"/>
      <c r="D87" s="672" t="s">
        <v>90</v>
      </c>
      <c r="E87" s="673" t="s">
        <v>971</v>
      </c>
      <c r="F87" s="667" t="s">
        <v>905</v>
      </c>
      <c r="G87" s="731"/>
      <c r="H87" s="1030"/>
      <c r="I87" s="731"/>
      <c r="J87" s="1030"/>
      <c r="K87" s="296" t="s">
        <v>972</v>
      </c>
      <c r="X87" s="765">
        <v>0</v>
      </c>
    </row>
    <row s="1642" customFormat="1" customHeight="1" ht="11.25" hidden="1">
      <c r="A88" s="2412"/>
      <c r="B88" s="518"/>
      <c r="D88" s="672" t="s">
        <v>788</v>
      </c>
      <c r="E88" s="730" t="s">
        <v>961</v>
      </c>
      <c r="F88" s="667" t="s">
        <v>905</v>
      </c>
      <c r="G88" s="731"/>
      <c r="H88" s="1030"/>
      <c r="I88" s="731"/>
      <c r="J88" s="1030"/>
      <c r="K88" s="296"/>
      <c r="X88" s="765">
        <v>0</v>
      </c>
    </row>
    <row s="1642" customFormat="1" customHeight="1" ht="11.25" hidden="1">
      <c r="A89" s="2412"/>
      <c r="B89" s="518"/>
      <c r="D89" s="672" t="s">
        <v>832</v>
      </c>
      <c r="E89" s="730" t="s">
        <v>962</v>
      </c>
      <c r="F89" s="667" t="s">
        <v>905</v>
      </c>
      <c r="G89" s="731"/>
      <c r="H89" s="1030"/>
      <c r="I89" s="731"/>
      <c r="J89" s="1030"/>
      <c r="K89" s="296"/>
      <c r="X89" s="765">
        <v>0</v>
      </c>
    </row>
    <row s="1642" customFormat="1" customHeight="1" ht="11.25" hidden="1">
      <c r="A90" s="2412"/>
      <c r="B90" s="518"/>
      <c r="D90" s="672" t="s">
        <v>835</v>
      </c>
      <c r="E90" s="730" t="s">
        <v>963</v>
      </c>
      <c r="F90" s="667" t="s">
        <v>905</v>
      </c>
      <c r="G90" s="731"/>
      <c r="H90" s="1030"/>
      <c r="I90" s="731"/>
      <c r="J90" s="1030"/>
      <c r="K90" s="296"/>
      <c r="X90" s="765">
        <v>0</v>
      </c>
    </row>
    <row s="1642" customFormat="1" customHeight="1" ht="11.25" hidden="1">
      <c r="A91" s="2412"/>
      <c r="B91" s="518"/>
      <c r="D91" s="672" t="s">
        <v>923</v>
      </c>
      <c r="E91" s="730" t="s">
        <v>964</v>
      </c>
      <c r="F91" s="667" t="s">
        <v>905</v>
      </c>
      <c r="G91" s="731"/>
      <c r="H91" s="1030"/>
      <c r="I91" s="731"/>
      <c r="J91" s="1030"/>
      <c r="K91" s="296"/>
      <c r="X91" s="765">
        <v>0</v>
      </c>
    </row>
    <row s="1642" customFormat="1" customHeight="1" ht="11.25" hidden="1">
      <c r="A92" s="2412"/>
      <c r="B92" s="518"/>
      <c r="D92" s="672" t="s">
        <v>925</v>
      </c>
      <c r="E92" s="730" t="s">
        <v>966</v>
      </c>
      <c r="F92" s="667" t="s">
        <v>905</v>
      </c>
      <c r="G92" s="731"/>
      <c r="H92" s="1030"/>
      <c r="I92" s="731"/>
      <c r="J92" s="1030"/>
      <c r="K92" s="296"/>
      <c r="X92" s="765">
        <v>0</v>
      </c>
    </row>
    <row s="1642" customFormat="1" customHeight="1" ht="11.25" hidden="1">
      <c r="A93" s="2412"/>
      <c r="B93" s="518"/>
      <c r="D93" s="672" t="s">
        <v>973</v>
      </c>
      <c r="E93" s="730" t="s">
        <v>968</v>
      </c>
      <c r="F93" s="667" t="s">
        <v>905</v>
      </c>
      <c r="G93" s="731"/>
      <c r="H93" s="1030"/>
      <c r="I93" s="731"/>
      <c r="J93" s="1030"/>
      <c r="K93" s="296"/>
      <c r="X93" s="765">
        <v>0</v>
      </c>
    </row>
    <row s="1642" customFormat="1" customHeight="1" ht="11.25" hidden="1">
      <c r="A94" s="2412"/>
      <c r="B94" s="518"/>
      <c r="D94" s="672" t="s">
        <v>974</v>
      </c>
      <c r="E94" s="730" t="s">
        <v>970</v>
      </c>
      <c r="F94" s="667" t="s">
        <v>905</v>
      </c>
      <c r="G94" s="731"/>
      <c r="H94" s="1030"/>
      <c r="I94" s="731"/>
      <c r="J94" s="1030"/>
      <c r="K94" s="296"/>
      <c r="X94" s="765">
        <v>0</v>
      </c>
    </row>
    <row s="1642" customFormat="1" customHeight="1" ht="24.75" hidden="1">
      <c r="A95" s="2412"/>
      <c r="B95" s="518"/>
      <c r="D95" s="672" t="s">
        <v>111</v>
      </c>
      <c r="E95" s="673" t="s">
        <v>975</v>
      </c>
      <c r="F95" s="732" t="s">
        <v>557</v>
      </c>
      <c r="G95" s="734"/>
      <c r="H95" s="1030"/>
      <c r="I95" s="734"/>
      <c r="J95" s="1030"/>
      <c r="K95" s="296" t="s">
        <v>976</v>
      </c>
      <c r="X95" s="765">
        <v>0</v>
      </c>
    </row>
    <row s="1642" customFormat="1" customHeight="1" ht="33.75" hidden="1">
      <c r="A96" s="2412"/>
      <c r="B96" s="518"/>
      <c r="D96" s="672" t="s">
        <v>91</v>
      </c>
      <c r="E96" s="673" t="s">
        <v>977</v>
      </c>
      <c r="F96" s="733" t="s">
        <v>866</v>
      </c>
      <c r="G96" s="735"/>
      <c r="H96" s="1030"/>
      <c r="I96" s="735"/>
      <c r="J96" s="1030"/>
      <c r="K96" s="296"/>
      <c r="X96" s="765">
        <v>0</v>
      </c>
    </row>
    <row s="1642" customFormat="1" customHeight="1" ht="22.5" hidden="1">
      <c r="A97" s="2412"/>
      <c r="B97" s="518" t="s">
        <v>607</v>
      </c>
      <c r="D97" s="672" t="s">
        <v>92</v>
      </c>
      <c r="E97" s="673" t="s">
        <v>978</v>
      </c>
      <c r="F97" s="733" t="s">
        <v>305</v>
      </c>
      <c r="G97" s="392"/>
      <c r="H97" s="1030"/>
      <c r="I97" s="392"/>
      <c r="J97" s="1030"/>
      <c r="K97" s="296" t="s">
        <v>660</v>
      </c>
      <c r="X97" s="765">
        <v>0</v>
      </c>
    </row>
    <row s="1642" customFormat="1" customHeight="1" ht="45" hidden="1">
      <c r="A98" s="2412"/>
      <c r="B98" s="518" t="s">
        <v>607</v>
      </c>
      <c r="D98" s="672" t="s">
        <v>844</v>
      </c>
      <c r="E98" s="674" t="s">
        <v>979</v>
      </c>
      <c r="F98" s="728" t="s">
        <v>305</v>
      </c>
      <c r="G98" s="392"/>
      <c r="H98" s="1030"/>
      <c r="I98" s="392"/>
      <c r="J98" s="1030"/>
      <c r="K98" s="296" t="s">
        <v>660</v>
      </c>
      <c r="X98" s="765">
        <v>0</v>
      </c>
    </row>
    <row s="1642" customFormat="1" customHeight="1" ht="95.25" hidden="1">
      <c r="A99" s="2412"/>
      <c r="B99" s="518" t="s">
        <v>607</v>
      </c>
      <c r="D99" s="672" t="s">
        <v>112</v>
      </c>
      <c r="E99" s="673" t="s">
        <v>980</v>
      </c>
      <c r="F99" s="728" t="s">
        <v>305</v>
      </c>
      <c r="G99" s="392"/>
      <c r="H99" s="1030"/>
      <c r="I99" s="392"/>
      <c r="J99" s="1030"/>
      <c r="K99" s="296" t="s">
        <v>660</v>
      </c>
      <c r="X99" s="765">
        <v>0</v>
      </c>
    </row>
    <row s="1642" customFormat="1" customHeight="1" ht="22.5" hidden="1">
      <c r="A100" s="2412"/>
      <c r="B100" s="518" t="s">
        <v>607</v>
      </c>
      <c r="D100" s="672" t="s">
        <v>149</v>
      </c>
      <c r="E100" s="673" t="s">
        <v>981</v>
      </c>
      <c r="F100" s="728" t="s">
        <v>305</v>
      </c>
      <c r="G100" s="392"/>
      <c r="H100" s="1030"/>
      <c r="I100" s="392"/>
      <c r="J100" s="1030"/>
      <c r="K100" s="296" t="s">
        <v>660</v>
      </c>
      <c r="X100" s="765">
        <v>0</v>
      </c>
    </row>
    <row s="1642" customFormat="1" customHeight="1" ht="11.549999999999999">
      <c r="A101" s="1040"/>
      <c r="B101" s="525"/>
      <c r="D101" s="1041"/>
      <c r="E101" s="1042"/>
      <c r="X101" s="516">
        <v>11</v>
      </c>
    </row>
    <row customHeight="1" ht="22.5" hidden="1">
      <c r="A102" s="543" t="s">
        <v>81</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62" r:id="rId1" xr:uid="{ED2DEA62-F58E-0AAD-EFD5-0.82488822}"/>
    <hyperlink ref="I63" r:id="rId2" xr:uid="{0C35C615-ECEA-64C7-CB9E-0.6B5FD29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F1082-8327-7925-EFAA-0.06F9EE06}"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57"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39"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0"/>
      <c r="F4" s="2140"/>
      <c r="G4" s="2140"/>
      <c r="H4" s="2140"/>
      <c r="I4" s="2141"/>
      <c r="J4" s="591"/>
      <c r="K4" s="591"/>
      <c r="L4" s="591"/>
      <c r="M4" s="591"/>
      <c r="AM4" s="590">
        <v>34</v>
      </c>
    </row>
    <row s="596" customFormat="1" customHeight="1" ht="14.699999999999998">
      <c r="A5" s="592"/>
      <c r="B5" s="592"/>
      <c r="C5" s="592"/>
      <c r="D5" s="2142" t="str">
        <f>IF(org=0,"Не определено",org)</f>
        <v>ИМУП «ПОСЖИЛКОМСЕРВИС»</v>
      </c>
      <c r="E5" s="2143"/>
      <c r="F5" s="2143"/>
      <c r="G5" s="2143"/>
      <c r="H5" s="2143"/>
      <c r="I5" s="2144"/>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45"/>
      <c r="B6" s="2145"/>
      <c r="C6" s="2145"/>
      <c r="D6" s="2145"/>
      <c r="E6" s="2145"/>
      <c r="F6" s="2145"/>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1"/>
      <c r="G7" s="2151"/>
      <c r="H7" s="2151"/>
      <c r="I7" s="2151"/>
      <c r="J7" s="2151"/>
      <c r="K7" s="2151"/>
      <c r="L7" s="2151"/>
      <c r="M7" s="2151"/>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46"/>
      <c r="B9" s="330"/>
      <c r="C9" s="330"/>
      <c r="D9" s="2147" t="s">
        <v>105</v>
      </c>
      <c r="E9" s="2147"/>
      <c r="F9" s="2148" t="s">
        <v>106</v>
      </c>
      <c r="G9" s="2149"/>
      <c r="H9" s="2149"/>
      <c r="I9" s="2149"/>
      <c r="J9" s="2152" t="s">
        <v>107</v>
      </c>
      <c r="K9" s="2152"/>
      <c r="L9" s="2152"/>
      <c r="M9" s="2152"/>
      <c r="AM9" s="590">
        <v>18</v>
      </c>
    </row>
    <row customHeight="1" ht="24">
      <c r="A10" s="2146"/>
      <c r="B10" s="599"/>
      <c r="C10" s="532"/>
      <c r="D10" s="530" t="s">
        <v>87</v>
      </c>
      <c r="E10" s="530" t="s">
        <v>88</v>
      </c>
      <c r="F10" s="530" t="s">
        <v>108</v>
      </c>
      <c r="G10" s="2153" t="s">
        <v>87</v>
      </c>
      <c r="H10" s="2154"/>
      <c r="I10" s="530" t="s">
        <v>88</v>
      </c>
      <c r="J10" s="530" t="s">
        <v>108</v>
      </c>
      <c r="K10" s="2153" t="s">
        <v>87</v>
      </c>
      <c r="L10" s="2154"/>
      <c r="M10" s="530" t="s">
        <v>88</v>
      </c>
      <c r="N10" s="1634"/>
      <c r="AM10" s="590">
        <v>23</v>
      </c>
    </row>
    <row s="1857" customFormat="1" customHeight="1" ht="11.25" hidden="1">
      <c r="A11" s="600"/>
      <c r="B11" s="600"/>
      <c r="C11" s="600"/>
      <c r="D11" s="601" t="s">
        <v>109</v>
      </c>
      <c r="E11" s="601" t="s">
        <v>110</v>
      </c>
      <c r="F11" s="601" t="s">
        <v>89</v>
      </c>
      <c r="G11" s="2135" t="s">
        <v>90</v>
      </c>
      <c r="H11" s="2136"/>
      <c r="I11" s="601" t="s">
        <v>111</v>
      </c>
      <c r="J11" s="601" t="s">
        <v>91</v>
      </c>
      <c r="K11" s="2137" t="s">
        <v>92</v>
      </c>
      <c r="L11" s="2138"/>
      <c r="M11" s="601" t="s">
        <v>112</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113</v>
      </c>
      <c r="P12" s="1420" t="s">
        <v>114</v>
      </c>
      <c r="Q12" s="1420" t="s">
        <v>115</v>
      </c>
      <c r="R12" s="1420" t="s">
        <v>116</v>
      </c>
      <c r="AM12" s="590">
        <v>1</v>
      </c>
    </row>
    <row s="1857" customFormat="1" customHeight="1" ht="15.75">
      <c r="A13" s="300"/>
      <c r="B13" s="300"/>
      <c r="C13" s="533"/>
      <c r="D13" s="2128" t="s">
        <v>109</v>
      </c>
      <c r="E13" s="2129" t="str">
        <f>INDEX(VD_NAME_LIST,MATCH("4189671",VD_ID_LIST,0))</f>
        <v>Холодное водоснабжение. Питьевая вода</v>
      </c>
      <c r="F13" s="2132" t="s">
        <v>61</v>
      </c>
      <c r="G13" s="2133"/>
      <c r="H13" s="2134">
        <v>1</v>
      </c>
      <c r="I13" s="2125" t="str">
        <f>IF(U13="","",INDEX(TERRITORY_MR_LIST,MATCH(U13,TERRITORY_LIST_ID,0)))</f>
        <v>Территория 1</v>
      </c>
      <c r="J13" s="2127" t="s">
        <v>19</v>
      </c>
      <c r="K13" s="609"/>
      <c r="L13" s="534" t="s">
        <v>109</v>
      </c>
      <c r="M13" s="610" t="s">
        <v>22</v>
      </c>
      <c r="N13" s="819"/>
      <c r="O13" s="1423" t="s">
        <v>117</v>
      </c>
      <c r="P13" s="1420" t="str">
        <f>$E$13</f>
        <v>Холодное водоснабжение. Питьевая вода</v>
      </c>
      <c r="Q13" s="1420" t="str">
        <f>IF($F$13="нет","без дифференциации",$I$13)</f>
        <v>Территория 1</v>
      </c>
      <c r="R13" s="1420" t="str">
        <f>IF($J$13="нет","без дифференциации",M13)</f>
        <v>без дифференциации</v>
      </c>
      <c r="S13" s="1423"/>
      <c r="T13" s="1423"/>
      <c r="U13" s="1273" t="s">
        <v>97</v>
      </c>
      <c r="V13" s="1273" t="s">
        <v>118</v>
      </c>
      <c r="W13" s="1273"/>
      <c r="X13" s="1273"/>
      <c r="Y13" s="611" t="s">
        <v>119</v>
      </c>
      <c r="Z13" s="611">
        <v>1705000</v>
      </c>
      <c r="AA13" s="611"/>
      <c r="AB13" s="611"/>
      <c r="AC13" s="611"/>
      <c r="AD13" s="611"/>
      <c r="AE13" s="611"/>
      <c r="AF13" s="611"/>
      <c r="AG13" s="611"/>
      <c r="AH13" s="611"/>
      <c r="AI13" s="611"/>
      <c r="AJ13" s="611"/>
      <c r="AK13" s="611"/>
      <c r="AL13" s="611"/>
      <c r="AM13" s="613">
        <v>15</v>
      </c>
    </row>
    <row s="1857" customFormat="1" customHeight="1" ht="15.75">
      <c r="A14" s="300"/>
      <c r="B14" s="300"/>
      <c r="C14" s="183"/>
      <c r="D14" s="2128"/>
      <c r="E14" s="2130"/>
      <c r="F14" s="2127"/>
      <c r="G14" s="2133"/>
      <c r="H14" s="2134"/>
      <c r="I14" s="2126"/>
      <c r="J14" s="2127"/>
      <c r="K14" s="428"/>
      <c r="L14" s="184"/>
      <c r="M14" s="614" t="s">
        <v>120</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57" customFormat="1" customHeight="1" ht="15.75">
      <c r="A15" s="300"/>
      <c r="B15" s="300"/>
      <c r="C15" s="183"/>
      <c r="D15" s="2128"/>
      <c r="E15" s="2131"/>
      <c r="F15" s="2127"/>
      <c r="G15" s="1067"/>
      <c r="H15" s="1068"/>
      <c r="I15" s="587" t="s">
        <v>121</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122</v>
      </c>
      <c r="F16" s="184"/>
      <c r="G16" s="184"/>
      <c r="H16" s="184"/>
      <c r="I16" s="184"/>
      <c r="J16" s="184"/>
      <c r="K16" s="184" t="s">
        <v>22</v>
      </c>
      <c r="L16" s="184"/>
      <c r="M16" s="615"/>
      <c r="N16" s="1634"/>
      <c r="AM16" s="590">
        <v>15</v>
      </c>
    </row>
    <row customHeight="1" ht="11.25" hidden="1">
      <c r="A17" s="590" t="s">
        <v>81</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3A2BE-AE7A-CBE4-34A2-0.3EEF3AF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17"/>
      <c r="C3" s="2418" t="s">
        <v>576</v>
      </c>
      <c r="D3" s="696" t="str">
        <f>B3&amp;".1"</f>
        <v>.1</v>
      </c>
      <c r="E3" s="697" t="s">
        <v>982</v>
      </c>
      <c r="F3" s="698" t="s">
        <v>305</v>
      </c>
      <c r="G3" s="693"/>
      <c r="H3" s="408"/>
      <c r="I3" s="693"/>
      <c r="J3" s="408"/>
      <c r="K3" s="296" t="s">
        <v>983</v>
      </c>
      <c r="V3" s="512">
        <v>0</v>
      </c>
    </row>
    <row customHeight="1" ht="15" hidden="1">
      <c r="A4" s="512"/>
      <c r="B4" s="2417"/>
      <c r="C4" s="2418"/>
      <c r="D4" s="696" t="str">
        <f>B3&amp;".2"</f>
        <v>.2</v>
      </c>
      <c r="E4" s="697" t="s">
        <v>984</v>
      </c>
      <c r="F4" s="698" t="s">
        <v>305</v>
      </c>
      <c r="G4" s="1744" t="s">
        <v>22</v>
      </c>
      <c r="H4" s="408"/>
      <c r="I4" s="1744" t="s">
        <v>22</v>
      </c>
      <c r="J4" s="408"/>
      <c r="K4" s="296" t="s">
        <v>985</v>
      </c>
      <c r="V4" s="512">
        <v>0</v>
      </c>
    </row>
    <row s="1373" customFormat="1" customHeight="1" ht="15" hidden="1">
      <c r="C5" s="679"/>
      <c r="U5" s="427"/>
      <c r="V5" s="424">
        <v>0</v>
      </c>
    </row>
    <row customHeight="1" ht="22.5" hidden="1">
      <c r="A6" s="512"/>
      <c r="B6" s="2417"/>
      <c r="C6" s="2418" t="s">
        <v>576</v>
      </c>
      <c r="D6" s="696" t="str">
        <f>B6&amp;".1"</f>
        <v>.1</v>
      </c>
      <c r="E6" s="697" t="s">
        <v>986</v>
      </c>
      <c r="F6" s="698" t="s">
        <v>305</v>
      </c>
      <c r="G6" s="693"/>
      <c r="H6" s="408"/>
      <c r="I6" s="693"/>
      <c r="J6" s="408"/>
      <c r="K6" s="296" t="s">
        <v>987</v>
      </c>
      <c r="V6" s="512">
        <v>0</v>
      </c>
    </row>
    <row customHeight="1" ht="15" hidden="1">
      <c r="A7" s="512"/>
      <c r="B7" s="2417"/>
      <c r="C7" s="2418"/>
      <c r="D7" s="696" t="str">
        <f>B6&amp;".2"</f>
        <v>.2</v>
      </c>
      <c r="E7" s="697" t="s">
        <v>984</v>
      </c>
      <c r="F7" s="698" t="s">
        <v>305</v>
      </c>
      <c r="G7" s="1744" t="s">
        <v>22</v>
      </c>
      <c r="H7" s="408"/>
      <c r="I7" s="1744" t="s">
        <v>22</v>
      </c>
      <c r="J7" s="408"/>
      <c r="K7" s="296" t="s">
        <v>985</v>
      </c>
      <c r="V7" s="512">
        <v>0</v>
      </c>
    </row>
    <row s="1373" customFormat="1" customHeight="1" ht="15" hidden="1">
      <c r="C8" s="679"/>
      <c r="U8" s="427"/>
      <c r="V8" s="424">
        <v>0</v>
      </c>
    </row>
    <row customHeight="1" ht="22.5" hidden="1">
      <c r="A9" s="512"/>
      <c r="B9" s="2417"/>
      <c r="C9" s="2418" t="s">
        <v>576</v>
      </c>
      <c r="D9" s="696" t="str">
        <f>B9&amp;".1"</f>
        <v>.1</v>
      </c>
      <c r="E9" s="697" t="s">
        <v>988</v>
      </c>
      <c r="F9" s="698" t="s">
        <v>305</v>
      </c>
      <c r="G9" s="704" t="s">
        <v>22</v>
      </c>
      <c r="H9" s="408" t="s">
        <v>22</v>
      </c>
      <c r="I9" s="704" t="s">
        <v>22</v>
      </c>
      <c r="J9" s="408" t="s">
        <v>22</v>
      </c>
      <c r="K9" s="296"/>
      <c r="V9" s="512">
        <v>0</v>
      </c>
    </row>
    <row customHeight="1" ht="15" hidden="1">
      <c r="A10" s="512"/>
      <c r="B10" s="2417"/>
      <c r="C10" s="2418"/>
      <c r="D10" s="696" t="str">
        <f>B9&amp;".2"</f>
        <v>.2</v>
      </c>
      <c r="E10" s="697" t="s">
        <v>989</v>
      </c>
      <c r="F10" s="698" t="s">
        <v>305</v>
      </c>
      <c r="G10" s="1738" t="s">
        <v>22</v>
      </c>
      <c r="H10" s="408" t="s">
        <v>22</v>
      </c>
      <c r="I10" s="1738" t="s">
        <v>22</v>
      </c>
      <c r="J10" s="408" t="s">
        <v>22</v>
      </c>
      <c r="K10" s="296" t="s">
        <v>990</v>
      </c>
      <c r="V10" s="512">
        <v>0</v>
      </c>
    </row>
    <row customHeight="1" ht="15" hidden="1">
      <c r="A11" s="512"/>
      <c r="B11" s="2417"/>
      <c r="C11" s="2418"/>
      <c r="D11" s="696" t="str">
        <f>B9&amp;".3"</f>
        <v>.3</v>
      </c>
      <c r="E11" s="697" t="s">
        <v>991</v>
      </c>
      <c r="F11" s="698" t="s">
        <v>305</v>
      </c>
      <c r="G11" s="1738" t="s">
        <v>22</v>
      </c>
      <c r="H11" s="408" t="s">
        <v>22</v>
      </c>
      <c r="I11" s="1738" t="s">
        <v>22</v>
      </c>
      <c r="J11" s="408" t="s">
        <v>22</v>
      </c>
      <c r="K11" s="296" t="s">
        <v>992</v>
      </c>
      <c r="V11" s="512">
        <v>0</v>
      </c>
    </row>
    <row s="1373" customFormat="1" customHeight="1" ht="15" hidden="1">
      <c r="C12" s="679"/>
      <c r="U12" s="427"/>
      <c r="V12" s="424">
        <v>0</v>
      </c>
    </row>
    <row customHeight="1" ht="33.75" hidden="1">
      <c r="A13" s="512"/>
      <c r="B13" s="2417"/>
      <c r="C13" s="2418" t="s">
        <v>576</v>
      </c>
      <c r="D13" s="696" t="str">
        <f>B13&amp;".1"</f>
        <v>.1</v>
      </c>
      <c r="E13" s="697" t="s">
        <v>993</v>
      </c>
      <c r="F13" s="698" t="s">
        <v>305</v>
      </c>
      <c r="G13" s="704" t="s">
        <v>22</v>
      </c>
      <c r="H13" s="408" t="s">
        <v>22</v>
      </c>
      <c r="I13" s="704" t="s">
        <v>22</v>
      </c>
      <c r="J13" s="408" t="s">
        <v>22</v>
      </c>
      <c r="K13" s="296" t="s">
        <v>994</v>
      </c>
      <c r="V13" s="512">
        <v>0</v>
      </c>
    </row>
    <row customHeight="1" ht="15" hidden="1">
      <c r="B14" s="2417"/>
      <c r="C14" s="2418"/>
      <c r="D14" s="696" t="str">
        <f>B13&amp;".2"</f>
        <v>.2</v>
      </c>
      <c r="E14" s="697" t="s">
        <v>995</v>
      </c>
      <c r="F14" s="698" t="s">
        <v>305</v>
      </c>
      <c r="G14" s="1738" t="s">
        <v>22</v>
      </c>
      <c r="H14" s="408" t="s">
        <v>22</v>
      </c>
      <c r="I14" s="1738" t="s">
        <v>22</v>
      </c>
      <c r="J14" s="408" t="s">
        <v>22</v>
      </c>
      <c r="K14" s="296" t="s">
        <v>996</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7"/>
      <c r="F22" s="2257"/>
      <c r="G22" s="2257"/>
      <c r="H22" s="2257"/>
      <c r="I22" s="2257"/>
      <c r="J22" s="683"/>
      <c r="K22" s="544"/>
      <c r="V22" s="512">
        <v>22</v>
      </c>
    </row>
    <row customHeight="1" ht="15.75">
      <c r="C23" s="183"/>
      <c r="D23" s="2196" t="str">
        <f>IF(org=0,"Не определено",org)</f>
        <v>ИМУП «ПОСЖИЛКОМСЕРВИС»</v>
      </c>
      <c r="E23" s="2196"/>
      <c r="F23" s="2196"/>
      <c r="G23" s="2196"/>
      <c r="H23" s="2196"/>
      <c r="I23" s="2196"/>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117</v>
      </c>
      <c r="J25" s="759"/>
      <c r="K25" s="424"/>
      <c r="U25" s="682"/>
      <c r="V25" s="765">
        <v>1</v>
      </c>
    </row>
    <row customHeight="1" ht="15.75">
      <c r="C26" s="183"/>
      <c r="D26" s="718"/>
      <c r="E26" s="2387" t="s">
        <v>105</v>
      </c>
      <c r="F26" s="2388"/>
      <c r="G26" s="2415" t="str">
        <f>IF(G25="","",INDEX(DIFFERENTIATION_UNMERGE_VD,MATCH(G25,DIFFERENTIATION_ID_DIFF,0)))</f>
        <v/>
      </c>
      <c r="H26" s="2416"/>
      <c r="I26" s="2415" t="str">
        <f>IF(I25="","",INDEX(DIFFERENTIATION_UNMERGE_VD,MATCH(I25,DIFFERENTIATION_ID_DIFF,0)))</f>
        <v>Холодное водоснабжение. Питьевая вода</v>
      </c>
      <c r="J26" s="2416"/>
      <c r="K26" s="2195" t="s">
        <v>300</v>
      </c>
      <c r="V26" s="512">
        <v>15</v>
      </c>
    </row>
    <row s="1642" customFormat="1" customHeight="1" ht="15.75">
      <c r="A27" s="766"/>
      <c r="C27" s="183"/>
      <c r="D27" s="718"/>
      <c r="E27" s="2387" t="s">
        <v>563</v>
      </c>
      <c r="F27" s="2388"/>
      <c r="G27" s="2415" t="str">
        <f>IF(G25="","",INDEX(DIFFERENTIATION_UNMERGE_AREA,MATCH(G25,DIFFERENTIATION_ID_DIFF,0)))</f>
        <v/>
      </c>
      <c r="H27" s="2416"/>
      <c r="I27" s="2415" t="str">
        <f>IF(I25="","",INDEX(DIFFERENTIATION_UNMERGE_AREA,MATCH(I25,DIFFERENTIATION_ID_DIFF,0)))</f>
        <v>Территория 1</v>
      </c>
      <c r="J27" s="2416"/>
      <c r="K27" s="2215"/>
      <c r="U27" s="682"/>
      <c r="V27" s="765">
        <v>15</v>
      </c>
    </row>
    <row s="1642" customFormat="1" customHeight="1" ht="15.75">
      <c r="A28" s="766"/>
      <c r="C28" s="183"/>
      <c r="D28" s="718"/>
      <c r="E28" s="2387" t="s">
        <v>564</v>
      </c>
      <c r="F28" s="2388"/>
      <c r="G28" s="2415" t="str">
        <f>IF(G25="","",INDEX(DIFFERENTIATION_UNMERGE_SYSTEM,MATCH(G25,DIFFERENTIATION_ID_DIFF,0)))</f>
        <v/>
      </c>
      <c r="H28" s="2416"/>
      <c r="I28" s="2415" t="str">
        <f>IF(I25="","",INDEX(DIFFERENTIATION_UNMERGE_SYSTEM,MATCH(I25,DIFFERENTIATION_ID_DIFF,0)))</f>
        <v>без дифференциации</v>
      </c>
      <c r="J28" s="2416"/>
      <c r="K28" s="2215"/>
      <c r="U28" s="682"/>
      <c r="V28" s="765">
        <v>15</v>
      </c>
    </row>
    <row s="1642" customFormat="1" customHeight="1" ht="15.75">
      <c r="A29" s="766"/>
      <c r="C29" s="183"/>
      <c r="D29" s="2389" t="s">
        <v>299</v>
      </c>
      <c r="E29" s="2390"/>
      <c r="F29" s="2390"/>
      <c r="G29" s="894"/>
      <c r="H29" s="894"/>
      <c r="I29" s="894"/>
      <c r="J29" s="895"/>
      <c r="K29" s="2215"/>
      <c r="U29" s="682"/>
      <c r="V29" s="765">
        <v>15</v>
      </c>
    </row>
    <row customHeight="1" ht="35.699999999999996">
      <c r="C30" s="183"/>
      <c r="D30" s="768" t="s">
        <v>87</v>
      </c>
      <c r="E30" s="767" t="s">
        <v>301</v>
      </c>
      <c r="F30" s="767" t="s">
        <v>565</v>
      </c>
      <c r="G30" s="815" t="s">
        <v>302</v>
      </c>
      <c r="H30" s="814" t="s">
        <v>389</v>
      </c>
      <c r="I30" s="691" t="s">
        <v>302</v>
      </c>
      <c r="J30" s="472" t="s">
        <v>389</v>
      </c>
      <c r="K30" s="2221"/>
      <c r="V30" s="512">
        <v>34</v>
      </c>
    </row>
    <row customHeight="1" ht="15" hidden="1">
      <c r="C31" s="183"/>
      <c r="D31" s="600"/>
      <c r="E31" s="600"/>
      <c r="F31" s="600"/>
      <c r="G31" s="666"/>
      <c r="H31" s="666"/>
      <c r="I31" s="666"/>
      <c r="J31" s="666"/>
      <c r="K31" s="296"/>
      <c r="V31" s="512">
        <v>0</v>
      </c>
    </row>
    <row customHeight="1" ht="24">
      <c r="A32" s="512"/>
      <c r="B32" s="512" t="s">
        <v>997</v>
      </c>
      <c r="C32" s="533"/>
      <c r="D32" s="699">
        <v>1</v>
      </c>
      <c r="E32" s="700" t="s">
        <v>998</v>
      </c>
      <c r="F32" s="698" t="s">
        <v>305</v>
      </c>
      <c r="G32" s="820" t="s">
        <v>305</v>
      </c>
      <c r="H32" s="820" t="s">
        <v>305</v>
      </c>
      <c r="I32" s="698" t="s">
        <v>305</v>
      </c>
      <c r="J32" s="698" t="s">
        <v>305</v>
      </c>
      <c r="K32" s="296"/>
      <c r="V32" s="512">
        <v>23</v>
      </c>
    </row>
    <row customHeight="1" ht="11.549999999999999">
      <c r="A33" s="512"/>
      <c r="C33" s="512"/>
      <c r="D33" s="354"/>
      <c r="E33" s="587" t="s">
        <v>614</v>
      </c>
      <c r="F33" s="579"/>
      <c r="G33" s="579"/>
      <c r="H33" s="579"/>
      <c r="I33" s="579"/>
      <c r="J33" s="579"/>
      <c r="K33" s="580"/>
      <c r="U33" s="512"/>
      <c r="V33" s="512">
        <v>11</v>
      </c>
    </row>
    <row customHeight="1" ht="24">
      <c r="A34" s="512"/>
      <c r="B34" s="588" t="s">
        <v>665</v>
      </c>
      <c r="C34" s="533"/>
      <c r="D34" s="699">
        <v>2</v>
      </c>
      <c r="E34" s="700" t="s">
        <v>999</v>
      </c>
      <c r="F34" s="827" t="s">
        <v>305</v>
      </c>
      <c r="G34" s="827" t="s">
        <v>305</v>
      </c>
      <c r="H34" s="827" t="s">
        <v>305</v>
      </c>
      <c r="I34" s="698"/>
      <c r="J34" s="698"/>
      <c r="K34" s="296"/>
      <c r="V34" s="512">
        <v>23</v>
      </c>
    </row>
    <row customHeight="1" ht="11.549999999999999">
      <c r="A35" s="512"/>
      <c r="C35" s="512"/>
      <c r="D35" s="354"/>
      <c r="E35" s="587" t="s">
        <v>1000</v>
      </c>
      <c r="F35" s="579"/>
      <c r="G35" s="701"/>
      <c r="H35" s="579"/>
      <c r="I35" s="701"/>
      <c r="J35" s="579"/>
      <c r="K35" s="580"/>
      <c r="U35" s="512"/>
      <c r="V35" s="512">
        <v>11</v>
      </c>
    </row>
    <row customHeight="1" ht="71.25">
      <c r="A36" s="512"/>
      <c r="B36" s="512" t="s">
        <v>1001</v>
      </c>
      <c r="C36" s="533"/>
      <c r="D36" s="699">
        <v>3</v>
      </c>
      <c r="E36" s="700" t="s">
        <v>1002</v>
      </c>
      <c r="F36" s="702" t="s">
        <v>305</v>
      </c>
      <c r="G36" s="821" t="s">
        <v>1003</v>
      </c>
      <c r="H36" s="820" t="s">
        <v>305</v>
      </c>
      <c r="I36" s="531" t="s">
        <v>1003</v>
      </c>
      <c r="J36" s="698" t="s">
        <v>305</v>
      </c>
      <c r="K36" s="296" t="s">
        <v>1004</v>
      </c>
      <c r="V36" s="512">
        <v>68</v>
      </c>
    </row>
    <row customHeight="1" ht="11.549999999999999">
      <c r="A37" s="512"/>
      <c r="C37" s="512"/>
      <c r="D37" s="354"/>
      <c r="E37" s="587" t="s">
        <v>1005</v>
      </c>
      <c r="F37" s="579"/>
      <c r="G37" s="701"/>
      <c r="H37" s="701"/>
      <c r="I37" s="701"/>
      <c r="J37" s="701"/>
      <c r="K37" s="580"/>
      <c r="U37" s="512"/>
      <c r="V37" s="512">
        <v>11</v>
      </c>
    </row>
    <row customHeight="1" ht="71.25">
      <c r="A38" s="512"/>
      <c r="B38" s="512" t="s">
        <v>1006</v>
      </c>
      <c r="C38" s="533"/>
      <c r="D38" s="699">
        <v>4</v>
      </c>
      <c r="E38" s="700" t="s">
        <v>1007</v>
      </c>
      <c r="F38" s="702" t="s">
        <v>305</v>
      </c>
      <c r="G38" s="821" t="s">
        <v>1003</v>
      </c>
      <c r="H38" s="822" t="s">
        <v>305</v>
      </c>
      <c r="I38" s="531" t="s">
        <v>1003</v>
      </c>
      <c r="J38" s="528" t="s">
        <v>305</v>
      </c>
      <c r="K38" s="686" t="s">
        <v>1008</v>
      </c>
      <c r="V38" s="512">
        <v>68</v>
      </c>
    </row>
    <row customHeight="1" ht="11.549999999999999">
      <c r="A39" s="512"/>
      <c r="C39" s="512"/>
      <c r="D39" s="354"/>
      <c r="E39" s="587" t="s">
        <v>1009</v>
      </c>
      <c r="F39" s="579"/>
      <c r="G39" s="579"/>
      <c r="H39" s="703"/>
      <c r="I39" s="579"/>
      <c r="J39" s="703"/>
      <c r="K39" s="580"/>
      <c r="U39" s="512"/>
      <c r="V39" s="512">
        <v>11</v>
      </c>
    </row>
    <row customHeight="1" ht="22.5" hidden="1">
      <c r="A40" s="456" t="s">
        <v>81</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79B3E-BEC7-95B3-1941-0.ECED5622}" mc:Ignorable="x14ac xr xr2 xr3">
  <sheetPr>
    <tabColor theme="9" tint="-0.25"/>
  </sheetPr>
  <dimension ref="A1:AE18"/>
  <sheetViews>
    <sheetView topLeftCell="A1" showGridLines="0" zoomScale="85" workbookViewId="0">
      <selection activeCell="K13" sqref="K13:K14"/>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1010</v>
      </c>
      <c r="H3" s="1163"/>
      <c r="AE3" s="766">
        <v>0</v>
      </c>
    </row>
    <row customHeight="1" ht="3">
      <c r="AE4" s="765">
        <v>3</v>
      </c>
    </row>
    <row customHeight="1" ht="27.299999999999997">
      <c r="F5" s="2268" t="str">
        <f>IP_NAME_FORM</f>
        <v>Форма 7. Информация об инвестиционных программах организации холодного водоснабжения и отчетах об их исполнении</v>
      </c>
      <c r="G5" s="2268"/>
      <c r="H5" s="2268"/>
      <c r="I5" s="2268"/>
      <c r="J5" s="2268"/>
      <c r="K5" s="2268"/>
      <c r="M5" s="589"/>
      <c r="AB5" s="913"/>
      <c r="AE5" s="765">
        <v>26</v>
      </c>
    </row>
    <row s="1642" customFormat="1" customHeight="1" ht="16.8">
      <c r="A6" s="1173"/>
      <c r="B6" s="1173"/>
      <c r="C6" s="1173"/>
      <c r="D6" s="1167"/>
      <c r="E6" s="1642"/>
      <c r="F6" s="2269" t="str">
        <f>IF(org=0,"Не определено",org)</f>
        <v>ИМУП «ПОСЖИЛКОМСЕРВИС»</v>
      </c>
      <c r="G6" s="2269"/>
      <c r="H6" s="2269"/>
      <c r="I6" s="2269"/>
      <c r="J6" s="2269"/>
      <c r="K6" s="2269"/>
      <c r="M6" s="589"/>
      <c r="AB6" s="1155"/>
      <c r="AE6" s="1638">
        <v>16</v>
      </c>
    </row>
    <row customHeight="1" ht="10.5">
      <c r="AE7" s="765">
        <v>10</v>
      </c>
    </row>
    <row customHeight="1" ht="10.5">
      <c r="A8" s="1058"/>
      <c r="B8" s="1058"/>
      <c r="C8" s="1058"/>
      <c r="F8" s="2121" t="s">
        <v>299</v>
      </c>
      <c r="G8" s="2122"/>
      <c r="H8" s="2122"/>
      <c r="I8" s="2122"/>
      <c r="J8" s="2122"/>
      <c r="K8" s="2122"/>
      <c r="L8" s="2122"/>
      <c r="M8" s="2122"/>
      <c r="N8" s="2122"/>
      <c r="O8" s="2122"/>
      <c r="P8" s="2122"/>
      <c r="Q8" s="2122"/>
      <c r="R8" s="2122"/>
      <c r="S8" s="2122"/>
      <c r="T8" s="2122"/>
      <c r="U8" s="2122"/>
      <c r="V8" s="2122"/>
      <c r="W8" s="2122"/>
      <c r="X8" s="2122"/>
      <c r="Y8" s="2122"/>
      <c r="Z8" s="2122"/>
      <c r="AA8" s="2122"/>
      <c r="AB8" s="2123"/>
      <c r="AE8" s="765">
        <v>10</v>
      </c>
    </row>
    <row customHeight="1" ht="43.050000000000004">
      <c r="A9" s="912"/>
      <c r="B9" s="912"/>
      <c r="C9" s="912"/>
      <c r="F9" s="2147" t="s">
        <v>87</v>
      </c>
      <c r="G9" s="2147" t="s">
        <v>1010</v>
      </c>
      <c r="H9" s="2195" t="s">
        <v>1011</v>
      </c>
      <c r="I9" s="2147" t="s">
        <v>1012</v>
      </c>
      <c r="J9" s="2147" t="s">
        <v>1013</v>
      </c>
      <c r="K9" s="2147" t="s">
        <v>1014</v>
      </c>
      <c r="L9" s="2147" t="s">
        <v>1015</v>
      </c>
      <c r="M9" s="2147" t="s">
        <v>1016</v>
      </c>
      <c r="N9" s="2229" t="s">
        <v>1017</v>
      </c>
      <c r="O9" s="2229"/>
      <c r="P9" s="2229"/>
      <c r="Q9" s="2419" t="s">
        <v>1018</v>
      </c>
      <c r="R9" s="2420"/>
      <c r="S9" s="2420"/>
      <c r="T9" s="2421"/>
      <c r="U9" s="2419" t="s">
        <v>1019</v>
      </c>
      <c r="V9" s="2420"/>
      <c r="W9" s="2420"/>
      <c r="X9" s="2421"/>
      <c r="Y9" s="2121" t="s">
        <v>1020</v>
      </c>
      <c r="Z9" s="2122"/>
      <c r="AA9" s="2122"/>
      <c r="AB9" s="2123"/>
      <c r="AE9" s="765">
        <v>41</v>
      </c>
    </row>
    <row customHeight="1" ht="43.050000000000004">
      <c r="A10" s="912"/>
      <c r="B10" s="912"/>
      <c r="C10" s="912"/>
      <c r="F10" s="2195"/>
      <c r="G10" s="2195"/>
      <c r="H10" s="2252"/>
      <c r="I10" s="2195"/>
      <c r="J10" s="2195"/>
      <c r="K10" s="2195"/>
      <c r="L10" s="2195"/>
      <c r="M10" s="2195"/>
      <c r="N10" s="910" t="s">
        <v>1021</v>
      </c>
      <c r="O10" s="910" t="s">
        <v>1022</v>
      </c>
      <c r="P10" s="911" t="s">
        <v>1023</v>
      </c>
      <c r="Q10" s="922" t="s">
        <v>88</v>
      </c>
      <c r="R10" s="922" t="s">
        <v>1024</v>
      </c>
      <c r="S10" s="922" t="s">
        <v>1025</v>
      </c>
      <c r="T10" s="923" t="s">
        <v>1026</v>
      </c>
      <c r="U10" s="922" t="s">
        <v>88</v>
      </c>
      <c r="V10" s="922" t="s">
        <v>1027</v>
      </c>
      <c r="W10" s="922" t="s">
        <v>1025</v>
      </c>
      <c r="X10" s="923" t="s">
        <v>1026</v>
      </c>
      <c r="Y10" s="308" t="s">
        <v>1028</v>
      </c>
      <c r="Z10" s="2121" t="s">
        <v>87</v>
      </c>
      <c r="AA10" s="2123"/>
      <c r="AB10" s="1056" t="s">
        <v>1029</v>
      </c>
      <c r="AE10" s="765">
        <v>41</v>
      </c>
    </row>
    <row s="1649" customFormat="1" customHeight="1" ht="5.25" hidden="1">
      <c r="A11" s="1059"/>
      <c r="B11" s="1059"/>
      <c r="C11" s="1059"/>
      <c r="E11" s="1057"/>
      <c r="F11" s="2426" t="s">
        <v>375</v>
      </c>
      <c r="G11" s="2423"/>
      <c r="H11" s="2422"/>
      <c r="I11" s="2422"/>
      <c r="J11" s="2422"/>
      <c r="K11" s="2424"/>
      <c r="L11" s="2424"/>
      <c r="M11" s="2424"/>
      <c r="N11" s="2422"/>
      <c r="O11" s="2422"/>
      <c r="P11" s="2147"/>
      <c r="Q11" s="2199"/>
      <c r="R11" s="2199"/>
      <c r="S11" s="2199"/>
      <c r="T11" s="2422"/>
      <c r="U11" s="2199"/>
      <c r="V11" s="2199"/>
      <c r="W11" s="2199"/>
      <c r="X11" s="2422"/>
      <c r="Y11" s="2128"/>
      <c r="Z11" s="2128"/>
      <c r="AA11" s="2128"/>
      <c r="AB11" s="2128"/>
      <c r="AD11" s="518" t="s">
        <v>1030</v>
      </c>
      <c r="AE11" s="518">
        <v>0</v>
      </c>
    </row>
    <row s="1649" customFormat="1" customHeight="1" ht="5.25" hidden="1">
      <c r="A12" s="903"/>
      <c r="B12" s="903"/>
      <c r="C12" s="903"/>
      <c r="E12" s="525"/>
      <c r="F12" s="2426"/>
      <c r="G12" s="2423"/>
      <c r="H12" s="2422"/>
      <c r="I12" s="2422"/>
      <c r="J12" s="2422"/>
      <c r="K12" s="2424"/>
      <c r="L12" s="2424"/>
      <c r="M12" s="2424"/>
      <c r="N12" s="2422"/>
      <c r="O12" s="2422"/>
      <c r="P12" s="2147"/>
      <c r="Q12" s="2199"/>
      <c r="R12" s="2199"/>
      <c r="S12" s="2199"/>
      <c r="T12" s="2422"/>
      <c r="U12" s="2199"/>
      <c r="V12" s="2199"/>
      <c r="W12" s="2199"/>
      <c r="X12" s="2422"/>
      <c r="Y12" s="2425"/>
      <c r="Z12" s="2425"/>
      <c r="AA12" s="2425"/>
      <c r="AB12" s="2425"/>
      <c r="AE12" s="518">
        <v>0</v>
      </c>
    </row>
    <row customHeight="1" ht="27">
      <c r="A13" s="1173"/>
      <c r="B13" s="1173"/>
      <c r="C13" s="1173"/>
      <c r="D13" s="1167"/>
      <c r="E13" s="690" t="s">
        <v>576</v>
      </c>
      <c r="F13" s="2601" t="s">
        <v>109</v>
      </c>
      <c r="G13" s="2602" t="s">
        <v>1031</v>
      </c>
      <c r="H13" s="2603" t="s">
        <v>61</v>
      </c>
      <c r="I13" s="2605">
        <v>45219.554918981485</v>
      </c>
      <c r="J13" s="2568">
        <v>45492.55710648148</v>
      </c>
      <c r="K13" s="2607" t="s">
        <v>1032</v>
      </c>
      <c r="L13" s="2570" t="s">
        <v>1033</v>
      </c>
      <c r="M13" s="2570" t="s">
        <v>1034</v>
      </c>
      <c r="N13" s="2571" t="s">
        <v>1035</v>
      </c>
      <c r="O13" s="2571" t="s">
        <v>1036</v>
      </c>
      <c r="P13" s="2572" t="str">
        <f>DATEDIF(DATEVALUE(N13),DATEVALUE(O13),"y")&amp;"г. "&amp;DATEDIF(DATEVALUE(N13),DATEVALUE(O13),"ym")&amp;"мес. "&amp;DATEVALUE(O13)-DATE(YEAR(DATEVALUE(O13)),MONTH(DATEVALUE(O13)),1)&amp;"дн. "</f>
        <v>2г. 11мес. 30дн. </v>
      </c>
      <c r="Q13" s="2567" t="s">
        <v>1037</v>
      </c>
      <c r="R13" s="2567" t="s">
        <v>1038</v>
      </c>
      <c r="S13" s="2567" t="s">
        <v>1039</v>
      </c>
      <c r="T13" s="2568" t="s">
        <v>1040</v>
      </c>
      <c r="U13" s="2567" t="s">
        <v>1041</v>
      </c>
      <c r="V13" s="2567" t="s">
        <v>1042</v>
      </c>
      <c r="W13" s="2567" t="s">
        <v>1043</v>
      </c>
      <c r="X13" s="2568">
        <v>45492.56395833333</v>
      </c>
      <c r="Y13" s="2565" t="s">
        <v>19</v>
      </c>
      <c r="Z13" s="1814"/>
      <c r="AA13" s="1798">
        <v>1</v>
      </c>
      <c r="AB13" s="2655" t="s">
        <v>22</v>
      </c>
      <c r="AC13" s="1642"/>
      <c r="AD13" s="1643" t="s">
        <v>1044</v>
      </c>
      <c r="AE13" s="1642"/>
    </row>
    <row customHeight="1" ht="10.5">
      <c r="A14" s="1173"/>
      <c r="B14" s="1173"/>
      <c r="C14" s="1173"/>
      <c r="D14" s="1167"/>
      <c r="E14" s="954"/>
      <c r="F14" s="2601" t="s">
        <v>375</v>
      </c>
      <c r="G14" s="2602"/>
      <c r="H14" s="2604"/>
      <c r="I14" s="2606"/>
      <c r="J14" s="2569"/>
      <c r="K14" s="2607"/>
      <c r="L14" s="2570"/>
      <c r="M14" s="2570"/>
      <c r="N14" s="2571"/>
      <c r="O14" s="2571"/>
      <c r="P14" s="2572"/>
      <c r="Q14" s="2567"/>
      <c r="R14" s="2567"/>
      <c r="S14" s="2567"/>
      <c r="T14" s="2569"/>
      <c r="U14" s="2567"/>
      <c r="V14" s="2567"/>
      <c r="W14" s="2567"/>
      <c r="X14" s="2569"/>
      <c r="Y14" s="2566"/>
      <c r="Z14" s="354"/>
      <c r="AA14" s="579"/>
      <c r="AB14" s="659" t="s">
        <v>1045</v>
      </c>
      <c r="AC14" s="1642"/>
      <c r="AD14" s="1642"/>
      <c r="AE14" s="1642"/>
    </row>
    <row customHeight="1" ht="10.5">
      <c r="F15" s="909"/>
      <c r="G15" s="657" t="s">
        <v>1046</v>
      </c>
      <c r="H15" s="1175"/>
      <c r="I15" s="579"/>
      <c r="J15" s="579"/>
      <c r="K15" s="579"/>
      <c r="L15" s="579"/>
      <c r="M15" s="579"/>
      <c r="N15" s="579"/>
      <c r="O15" s="579"/>
      <c r="P15" s="579"/>
      <c r="Q15" s="579"/>
      <c r="R15" s="579"/>
      <c r="S15" s="579"/>
      <c r="T15" s="579"/>
      <c r="U15" s="579"/>
      <c r="V15" s="579"/>
      <c r="W15" s="579"/>
      <c r="X15" s="579"/>
      <c r="Y15" s="579"/>
      <c r="Z15" s="703"/>
      <c r="AA15" s="703"/>
      <c r="AB15" s="924"/>
      <c r="AE15" s="765">
        <v>10</v>
      </c>
    </row>
    <row customHeight="1" ht="10.5">
      <c r="AE16" s="765">
        <v>10</v>
      </c>
    </row>
    <row s="1649" customFormat="1" customHeight="1" ht="10.5">
      <c r="A17" s="1174"/>
      <c r="B17" s="1174"/>
      <c r="C17" s="1174"/>
      <c r="E17" s="525"/>
      <c r="H17" s="518">
        <f>_xlfn.IFERROR(MATCH("нет",IP_MAIN_DIFFERENTIATION_EVENTS_FLAG,0),0)</f>
        <v>0</v>
      </c>
      <c r="AE17" s="518">
        <v>10</v>
      </c>
    </row>
    <row customHeight="1" ht="10.5" hidden="1">
      <c r="A18" s="902" t="s">
        <v>81</v>
      </c>
      <c r="B18" s="902">
        <v>0</v>
      </c>
      <c r="C18" s="902">
        <v>0</v>
      </c>
      <c r="D18" s="424">
        <v>0</v>
      </c>
      <c r="E18" s="516">
        <v>3</v>
      </c>
      <c r="F18" s="765">
        <v>6</v>
      </c>
      <c r="G18" s="765">
        <v>37</v>
      </c>
      <c r="H18" s="1162">
        <v>16</v>
      </c>
      <c r="I18" s="765">
        <v>19</v>
      </c>
      <c r="J18" s="765">
        <v>19</v>
      </c>
      <c r="K18" s="765">
        <v>24</v>
      </c>
      <c r="L18" s="765">
        <v>25</v>
      </c>
      <c r="M18" s="765">
        <v>25</v>
      </c>
      <c r="N18" s="765">
        <v>17</v>
      </c>
      <c r="O18" s="765">
        <v>17</v>
      </c>
      <c r="P18" s="765">
        <v>17</v>
      </c>
      <c r="Q18" s="765">
        <v>19</v>
      </c>
      <c r="R18" s="765">
        <v>19</v>
      </c>
      <c r="S18" s="765">
        <v>19</v>
      </c>
      <c r="T18" s="765">
        <v>19</v>
      </c>
      <c r="U18" s="765">
        <v>19</v>
      </c>
      <c r="V18" s="765">
        <v>19</v>
      </c>
      <c r="W18" s="765">
        <v>19</v>
      </c>
      <c r="X18" s="765">
        <v>19</v>
      </c>
      <c r="Y18" s="765">
        <v>7</v>
      </c>
      <c r="Z18" s="765">
        <v>3</v>
      </c>
      <c r="AA18" s="765">
        <v>6</v>
      </c>
      <c r="AB18" s="765">
        <v>34</v>
      </c>
      <c r="AC18" s="765">
        <v>8</v>
      </c>
      <c r="AD18" s="765">
        <v>8</v>
      </c>
      <c r="AE18" s="765">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0DA5E-E1FB-D678-9316-0.782A0FD3}" mc:Ignorable="x14ac xr xr2 xr3">
  <sheetPr>
    <tabColor theme="9" tint="-0.25"/>
  </sheetPr>
  <dimension ref="A1:BG129"/>
  <sheetViews>
    <sheetView topLeftCell="A1" showGridLines="0" zoomScale="90" workbookViewId="0">
      <selection activeCell="AJ105" sqref="AJ105:AJ109"/>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hidden="1"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customWidth="1"/>
    <col min="31" max="31" style="1642" width="15.7109375" customWidth="1"/>
    <col min="32" max="34" style="1642" width="16.00390625" customWidth="1"/>
    <col min="35" max="37" style="1642" width="16.7109375"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68" t="str">
        <f>IP_NAME_FORM</f>
        <v>Форма 7. Информация об инвестиционных программах организации холодного водоснабжения и отчетах об их исполнении</v>
      </c>
      <c r="G5" s="2268"/>
      <c r="H5" s="2268"/>
      <c r="I5" s="2268"/>
      <c r="J5" s="2268"/>
      <c r="K5" s="2268"/>
      <c r="L5" s="1142"/>
      <c r="M5" s="1142"/>
      <c r="AG5" s="913"/>
      <c r="AH5" s="1155"/>
      <c r="BG5" s="765">
        <v>26</v>
      </c>
    </row>
    <row customHeight="1" ht="10.5">
      <c r="F6" s="2196" t="str">
        <f>IF(org=0,"Не определено",org)</f>
        <v>ИМУП «ПОСЖИЛКОМСЕРВИС»</v>
      </c>
      <c r="G6" s="2196"/>
      <c r="H6" s="2196"/>
      <c r="I6" s="2196"/>
      <c r="J6" s="2196"/>
      <c r="K6" s="2196"/>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35" t="s">
        <v>299</v>
      </c>
      <c r="G8" s="2436"/>
      <c r="H8" s="2436"/>
      <c r="I8" s="2436"/>
      <c r="J8" s="2436"/>
      <c r="K8" s="2436"/>
      <c r="L8" s="2436"/>
      <c r="M8" s="2436"/>
      <c r="N8" s="2436"/>
      <c r="O8" s="2436"/>
      <c r="P8" s="2436"/>
      <c r="Q8" s="2436"/>
      <c r="R8" s="2436"/>
      <c r="S8" s="2436"/>
      <c r="T8" s="2436"/>
      <c r="U8" s="2436"/>
      <c r="V8" s="2436"/>
      <c r="W8" s="2436"/>
      <c r="X8" s="2436"/>
      <c r="Y8" s="2436"/>
      <c r="Z8" s="2436"/>
      <c r="AA8" s="2436"/>
      <c r="AB8" s="2436"/>
      <c r="AC8" s="2436"/>
      <c r="AD8" s="2436"/>
      <c r="AE8" s="2436"/>
      <c r="AF8" s="2436"/>
      <c r="AG8" s="2436"/>
      <c r="AH8" s="2436"/>
      <c r="AI8" s="2436"/>
      <c r="AJ8" s="2436"/>
      <c r="AK8" s="2437"/>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28" t="s">
        <v>1047</v>
      </c>
      <c r="G9" s="2429" t="s">
        <v>1048</v>
      </c>
      <c r="H9" s="2430"/>
      <c r="I9" s="2147" t="s">
        <v>1049</v>
      </c>
      <c r="J9" s="2147"/>
      <c r="K9" s="2147" t="s">
        <v>1050</v>
      </c>
      <c r="L9" s="2147"/>
      <c r="M9" s="2147"/>
      <c r="N9" s="2147"/>
      <c r="O9" s="2147"/>
      <c r="P9" s="2147"/>
      <c r="Q9" s="2147"/>
      <c r="R9" s="2147"/>
      <c r="S9" s="2147"/>
      <c r="T9" s="2147"/>
      <c r="U9" s="2147"/>
      <c r="V9" s="2147"/>
      <c r="W9" s="2147"/>
      <c r="X9" s="2147"/>
      <c r="Y9" s="2147"/>
      <c r="Z9" s="2212" t="s">
        <v>1051</v>
      </c>
      <c r="AA9" s="2213"/>
      <c r="AB9" s="2147" t="s">
        <v>1052</v>
      </c>
      <c r="AC9" s="2147"/>
      <c r="AD9" s="2147"/>
      <c r="AE9" s="2147"/>
      <c r="AF9" s="2195" t="s">
        <v>1053</v>
      </c>
      <c r="AG9" s="2147" t="s">
        <v>1054</v>
      </c>
      <c r="AH9" s="2147"/>
      <c r="AI9" s="2195" t="s">
        <v>1055</v>
      </c>
      <c r="AJ9" s="2147" t="s">
        <v>1056</v>
      </c>
      <c r="AK9" s="2147"/>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28"/>
      <c r="G10" s="2431"/>
      <c r="H10" s="2432"/>
      <c r="I10" s="2147"/>
      <c r="J10" s="2147"/>
      <c r="K10" s="2147" t="s">
        <v>1057</v>
      </c>
      <c r="L10" s="2121" t="s">
        <v>1058</v>
      </c>
      <c r="M10" s="2123"/>
      <c r="N10" s="2147" t="s">
        <v>1059</v>
      </c>
      <c r="O10" s="2147"/>
      <c r="P10" s="2147"/>
      <c r="Q10" s="2147"/>
      <c r="R10" s="2147"/>
      <c r="S10" s="2147"/>
      <c r="T10" s="2147"/>
      <c r="U10" s="2147"/>
      <c r="V10" s="2147"/>
      <c r="W10" s="2147"/>
      <c r="X10" s="2147"/>
      <c r="Y10" s="2147"/>
      <c r="Z10" s="2214"/>
      <c r="AA10" s="2215"/>
      <c r="AB10" s="2147"/>
      <c r="AC10" s="2147"/>
      <c r="AD10" s="2147"/>
      <c r="AE10" s="2147"/>
      <c r="AF10" s="2219"/>
      <c r="AG10" s="2147"/>
      <c r="AH10" s="2147"/>
      <c r="AI10" s="2219"/>
      <c r="AJ10" s="2147"/>
      <c r="AK10" s="2147"/>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28"/>
      <c r="G11" s="2431"/>
      <c r="H11" s="2432"/>
      <c r="I11" s="2147"/>
      <c r="J11" s="2147"/>
      <c r="K11" s="2147"/>
      <c r="L11" s="2195" t="s">
        <v>1060</v>
      </c>
      <c r="M11" s="2195" t="s">
        <v>1061</v>
      </c>
      <c r="N11" s="2147" t="s">
        <v>1062</v>
      </c>
      <c r="O11" s="2147"/>
      <c r="P11" s="2438" t="s">
        <v>1028</v>
      </c>
      <c r="Q11" s="2438" t="s">
        <v>1063</v>
      </c>
      <c r="R11" s="2438" t="s">
        <v>1064</v>
      </c>
      <c r="S11" s="2438" t="s">
        <v>1065</v>
      </c>
      <c r="T11" s="2438"/>
      <c r="U11" s="2438"/>
      <c r="V11" s="2438"/>
      <c r="W11" s="2438"/>
      <c r="X11" s="2438"/>
      <c r="Y11" s="2438"/>
      <c r="Z11" s="2214"/>
      <c r="AA11" s="2215"/>
      <c r="AB11" s="2147" t="s">
        <v>1066</v>
      </c>
      <c r="AC11" s="2147"/>
      <c r="AD11" s="2121" t="s">
        <v>1067</v>
      </c>
      <c r="AE11" s="2123"/>
      <c r="AF11" s="2219"/>
      <c r="AG11" s="2147"/>
      <c r="AH11" s="2147"/>
      <c r="AI11" s="2219"/>
      <c r="AJ11" s="2147"/>
      <c r="AK11" s="2147"/>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28"/>
      <c r="G12" s="2433"/>
      <c r="H12" s="2434"/>
      <c r="I12" s="1160" t="s">
        <v>88</v>
      </c>
      <c r="J12" s="1160" t="s">
        <v>1068</v>
      </c>
      <c r="K12" s="2147"/>
      <c r="L12" s="2252"/>
      <c r="M12" s="2252"/>
      <c r="N12" s="2147"/>
      <c r="O12" s="2147"/>
      <c r="P12" s="2438"/>
      <c r="Q12" s="2438"/>
      <c r="R12" s="2438"/>
      <c r="S12" s="1141" t="s">
        <v>85</v>
      </c>
      <c r="T12" s="1141" t="s">
        <v>86</v>
      </c>
      <c r="U12" s="1141" t="s">
        <v>84</v>
      </c>
      <c r="V12" s="1141" t="s">
        <v>1069</v>
      </c>
      <c r="W12" s="1141" t="s">
        <v>84</v>
      </c>
      <c r="X12" s="1141" t="s">
        <v>1070</v>
      </c>
      <c r="Y12" s="1141" t="s">
        <v>1071</v>
      </c>
      <c r="Z12" s="2220"/>
      <c r="AA12" s="2221"/>
      <c r="AB12" s="1148" t="s">
        <v>1072</v>
      </c>
      <c r="AC12" s="1148" t="s">
        <v>1073</v>
      </c>
      <c r="AD12" s="1148" t="s">
        <v>1072</v>
      </c>
      <c r="AE12" s="1148" t="s">
        <v>1073</v>
      </c>
      <c r="AF12" s="2252"/>
      <c r="AG12" s="1161" t="s">
        <v>1074</v>
      </c>
      <c r="AH12" s="1161" t="s">
        <v>1075</v>
      </c>
      <c r="AI12" s="2252"/>
      <c r="AJ12" s="1161" t="s">
        <v>1074</v>
      </c>
      <c r="AK12" s="1161" t="s">
        <v>1075</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21">
      <c r="A14" s="1174" t="s">
        <v>1044</v>
      </c>
      <c r="B14" s="1173"/>
      <c r="C14" s="1173"/>
      <c r="D14" s="1167"/>
      <c r="E14" s="1177" t="s">
        <v>22</v>
      </c>
      <c r="F14" s="1129" t="str">
        <f>INDEX(IP_MAIN_LIST_NAME_IP,MATCH(A14,IP_MAIN_LIST_IP_ID,0))&amp;" ("&amp;INDEX(IP_MAIN_START_DATE,MATCH(A14,IP_MAIN_LIST_IP_ID,0))&amp;"-"&amp;INDEX(IP_MAIN_END_DATE,MATCH(A14,IP_MAIN_LIST_IP_ID,0))&amp;")"</f>
        <v>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 (01.01.2024-31.12.2026)</v>
      </c>
      <c r="G14" s="1130"/>
      <c r="H14" s="1130"/>
      <c r="I14" s="1192"/>
      <c r="J14" s="1192"/>
      <c r="K14" s="1193"/>
      <c r="L14" s="1193"/>
      <c r="M14" s="1193"/>
      <c r="N14" s="1194"/>
      <c r="O14" s="1194"/>
      <c r="P14" s="1194"/>
      <c r="Q14" s="1194"/>
      <c r="R14" s="1194"/>
      <c r="S14" s="1194"/>
      <c r="T14" s="1194"/>
      <c r="U14" s="1194"/>
      <c r="V14" s="1194"/>
      <c r="W14" s="1194"/>
      <c r="X14" s="1194"/>
      <c r="Y14" s="1194"/>
      <c r="Z14" s="1194"/>
      <c r="AA14" s="1194"/>
      <c r="AB14" s="1194"/>
      <c r="AC14" s="1194"/>
      <c r="AD14" s="1194"/>
      <c r="AE14" s="1195"/>
      <c r="AF14" s="1193"/>
      <c r="AG14" s="1193"/>
      <c r="AH14" s="1193"/>
      <c r="AI14" s="1193"/>
      <c r="AJ14" s="1193"/>
      <c r="AK14" s="1193"/>
      <c r="AL14" s="1992"/>
      <c r="AM14" s="1829"/>
      <c r="AN14" s="1829"/>
      <c r="AO14" s="1829"/>
      <c r="AP14" s="1829"/>
      <c r="AQ14" s="1829"/>
      <c r="AR14" s="1829"/>
      <c r="AS14" s="1829"/>
      <c r="AT14" s="1829"/>
      <c r="AU14" s="1829"/>
      <c r="AV14" s="1829"/>
      <c r="AW14" s="1829"/>
      <c r="AX14" s="1829"/>
      <c r="AY14" s="1829"/>
      <c r="AZ14" s="1829"/>
      <c r="BA14" s="1829"/>
      <c r="BB14" s="1829"/>
      <c r="BC14" s="1829"/>
      <c r="BD14" s="1829"/>
      <c r="BE14" s="1829"/>
      <c r="BF14" s="1829"/>
      <c r="BG14" s="1642"/>
    </row>
    <row customHeight="1" ht="0.75">
      <c r="A15" s="1173" t="s">
        <v>1044</v>
      </c>
      <c r="B15" s="1173"/>
      <c r="C15" s="1173"/>
      <c r="D15" s="1167"/>
      <c r="E15" s="1177"/>
      <c r="F15" s="2556">
        <v>2024</v>
      </c>
      <c r="G15" s="2535"/>
      <c r="H15" s="2560" t="s">
        <v>375</v>
      </c>
      <c r="I15" s="2561"/>
      <c r="J15" s="2562"/>
      <c r="K15" s="2562"/>
      <c r="L15" s="2554"/>
      <c r="M15" s="2288"/>
      <c r="N15" s="2040"/>
      <c r="O15" s="2039"/>
      <c r="P15" s="2040"/>
      <c r="Q15" s="2040"/>
      <c r="R15" s="2040"/>
      <c r="S15" s="2040"/>
      <c r="T15" s="2040"/>
      <c r="U15" s="2040"/>
      <c r="V15" s="2040"/>
      <c r="W15" s="2040"/>
      <c r="X15" s="2040"/>
      <c r="Y15" s="2040"/>
      <c r="Z15" s="2040"/>
      <c r="AA15" s="2040"/>
      <c r="AB15" s="2040"/>
      <c r="AC15" s="2040"/>
      <c r="AD15" s="2040"/>
      <c r="AE15" s="2040"/>
      <c r="AF15" s="2558"/>
      <c r="AG15" s="2554"/>
      <c r="AH15" s="2554"/>
      <c r="AI15" s="2558"/>
      <c r="AJ15" s="2554"/>
      <c r="AK15" s="2554"/>
      <c r="AL15" s="1992"/>
      <c r="AM15" s="1829"/>
      <c r="AN15" s="1829"/>
      <c r="AO15" s="1829"/>
      <c r="AP15" s="1829"/>
      <c r="AQ15" s="1829"/>
      <c r="AR15" s="1829"/>
      <c r="AS15" s="1829"/>
      <c r="AT15" s="1829"/>
      <c r="AU15" s="1829"/>
      <c r="AV15" s="1829"/>
      <c r="AW15" s="1829"/>
      <c r="AX15" s="1829"/>
      <c r="AY15" s="1829"/>
      <c r="AZ15" s="1829"/>
      <c r="BA15" s="1829"/>
      <c r="BB15" s="1829"/>
      <c r="BC15" s="1829"/>
      <c r="BD15" s="1829"/>
      <c r="BE15" s="1829"/>
      <c r="BF15" s="1829"/>
      <c r="BG15" s="1642"/>
    </row>
    <row customHeight="1" ht="0.75">
      <c r="A16" s="1173" t="s">
        <v>1044</v>
      </c>
      <c r="B16" s="1173"/>
      <c r="C16" s="1173"/>
      <c r="D16" s="1167"/>
      <c r="E16" s="1177"/>
      <c r="F16" s="2556"/>
      <c r="G16" s="2535"/>
      <c r="H16" s="2560"/>
      <c r="I16" s="2561"/>
      <c r="J16" s="2562"/>
      <c r="K16" s="2562"/>
      <c r="L16" s="2554"/>
      <c r="M16" s="2288"/>
      <c r="N16" s="2563"/>
      <c r="O16" s="2564"/>
      <c r="P16" s="2608"/>
      <c r="Q16" s="2559"/>
      <c r="R16" s="2559"/>
      <c r="S16" s="2559"/>
      <c r="T16" s="2559"/>
      <c r="U16" s="2559"/>
      <c r="V16" s="2559"/>
      <c r="W16" s="2559"/>
      <c r="X16" s="2559"/>
      <c r="Y16" s="2559"/>
      <c r="Z16" s="2041"/>
      <c r="AA16" s="2042"/>
      <c r="AB16" s="2042"/>
      <c r="AC16" s="2043"/>
      <c r="AD16" s="2043"/>
      <c r="AE16" s="2044"/>
      <c r="AF16" s="2558"/>
      <c r="AG16" s="2554"/>
      <c r="AH16" s="2554"/>
      <c r="AI16" s="2558"/>
      <c r="AJ16" s="2554"/>
      <c r="AK16" s="2554"/>
      <c r="AL16" s="1992"/>
      <c r="AM16" s="1829"/>
      <c r="AN16" s="1829"/>
      <c r="AO16" s="1829"/>
      <c r="AP16" s="1829"/>
      <c r="AQ16" s="1829"/>
      <c r="AR16" s="1829"/>
      <c r="AS16" s="1829"/>
      <c r="AT16" s="1829"/>
      <c r="AU16" s="1829"/>
      <c r="AV16" s="1829"/>
      <c r="AW16" s="1829"/>
      <c r="AX16" s="1829"/>
      <c r="AY16" s="1829"/>
      <c r="AZ16" s="1829"/>
      <c r="BA16" s="1829"/>
      <c r="BB16" s="1829"/>
      <c r="BC16" s="1829"/>
      <c r="BD16" s="1829"/>
      <c r="BE16" s="1829"/>
      <c r="BF16" s="1829"/>
      <c r="BG16" s="1642"/>
    </row>
    <row customHeight="1" ht="0.75">
      <c r="A17" s="1173" t="s">
        <v>1044</v>
      </c>
      <c r="B17" s="1173"/>
      <c r="C17" s="1173"/>
      <c r="D17" s="1167"/>
      <c r="E17" s="1177"/>
      <c r="F17" s="2556"/>
      <c r="G17" s="2535"/>
      <c r="H17" s="2560"/>
      <c r="I17" s="2561"/>
      <c r="J17" s="2562"/>
      <c r="K17" s="2562"/>
      <c r="L17" s="2554"/>
      <c r="M17" s="2288"/>
      <c r="N17" s="2563"/>
      <c r="O17" s="2564"/>
      <c r="P17" s="2609"/>
      <c r="Q17" s="2559"/>
      <c r="R17" s="2559"/>
      <c r="S17" s="2559"/>
      <c r="T17" s="2559"/>
      <c r="U17" s="2559"/>
      <c r="V17" s="2559"/>
      <c r="W17" s="2559"/>
      <c r="X17" s="2559"/>
      <c r="Y17" s="2559"/>
      <c r="Z17" s="2045"/>
      <c r="AA17" s="2046"/>
      <c r="AB17" s="2047"/>
      <c r="AC17" s="2048"/>
      <c r="AD17" s="2047"/>
      <c r="AE17" s="2048"/>
      <c r="AF17" s="2558"/>
      <c r="AG17" s="2554"/>
      <c r="AH17" s="2554"/>
      <c r="AI17" s="2558"/>
      <c r="AJ17" s="2554"/>
      <c r="AK17" s="2554"/>
      <c r="AL17" s="1992"/>
      <c r="AM17" s="1829"/>
      <c r="AN17" s="1829"/>
      <c r="AO17" s="1829"/>
      <c r="AP17" s="1829"/>
      <c r="AQ17" s="1829"/>
      <c r="AR17" s="1829"/>
      <c r="AS17" s="1829"/>
      <c r="AT17" s="1829"/>
      <c r="AU17" s="1829"/>
      <c r="AV17" s="1829"/>
      <c r="AW17" s="1829"/>
      <c r="AX17" s="1829"/>
      <c r="AY17" s="1829"/>
      <c r="AZ17" s="1829"/>
      <c r="BA17" s="1829"/>
      <c r="BB17" s="1829"/>
      <c r="BC17" s="1829"/>
      <c r="BD17" s="1829"/>
      <c r="BE17" s="1829"/>
      <c r="BF17" s="1829"/>
      <c r="BG17" s="1642"/>
    </row>
    <row customHeight="1" ht="0.75">
      <c r="A18" s="1173" t="s">
        <v>1044</v>
      </c>
      <c r="B18" s="1173"/>
      <c r="C18" s="1173"/>
      <c r="D18" s="1167"/>
      <c r="E18" s="1177"/>
      <c r="F18" s="2556"/>
      <c r="G18" s="2535"/>
      <c r="H18" s="2560"/>
      <c r="I18" s="2561"/>
      <c r="J18" s="2562"/>
      <c r="K18" s="2562"/>
      <c r="L18" s="2554"/>
      <c r="M18" s="2288"/>
      <c r="N18" s="2563"/>
      <c r="O18" s="2564"/>
      <c r="P18" s="2610"/>
      <c r="Q18" s="2559"/>
      <c r="R18" s="2559"/>
      <c r="S18" s="2559"/>
      <c r="T18" s="2559"/>
      <c r="U18" s="2559"/>
      <c r="V18" s="2559"/>
      <c r="W18" s="2559"/>
      <c r="X18" s="2559"/>
      <c r="Y18" s="2559"/>
      <c r="Z18" s="2041"/>
      <c r="AA18" s="2042"/>
      <c r="AB18" s="2049"/>
      <c r="AC18" s="2043"/>
      <c r="AD18" s="2043"/>
      <c r="AE18" s="2050"/>
      <c r="AF18" s="2558"/>
      <c r="AG18" s="2554"/>
      <c r="AH18" s="2554"/>
      <c r="AI18" s="2558"/>
      <c r="AJ18" s="2554"/>
      <c r="AK18" s="2554"/>
      <c r="AL18" s="1992"/>
      <c r="AM18" s="1829"/>
      <c r="AN18" s="1829"/>
      <c r="AO18" s="1829"/>
      <c r="AP18" s="1829"/>
      <c r="AQ18" s="1829"/>
      <c r="AR18" s="1829"/>
      <c r="AS18" s="1829"/>
      <c r="AT18" s="1829"/>
      <c r="AU18" s="1829"/>
      <c r="AV18" s="1829"/>
      <c r="AW18" s="1829"/>
      <c r="AX18" s="1829"/>
      <c r="AY18" s="1829"/>
      <c r="AZ18" s="1829"/>
      <c r="BA18" s="1829"/>
      <c r="BB18" s="1829"/>
      <c r="BC18" s="1829"/>
      <c r="BD18" s="1829"/>
      <c r="BE18" s="1829"/>
      <c r="BF18" s="1829"/>
      <c r="BG18" s="1642"/>
    </row>
    <row customHeight="1" ht="0.75">
      <c r="A19" s="1173" t="s">
        <v>1044</v>
      </c>
      <c r="B19" s="1173"/>
      <c r="C19" s="1173"/>
      <c r="D19" s="1167"/>
      <c r="E19" s="1177"/>
      <c r="F19" s="2556"/>
      <c r="G19" s="2535"/>
      <c r="H19" s="2560"/>
      <c r="I19" s="2561"/>
      <c r="J19" s="2562"/>
      <c r="K19" s="2562"/>
      <c r="L19" s="2554"/>
      <c r="M19" s="2288"/>
      <c r="N19" s="2042"/>
      <c r="O19" s="2042"/>
      <c r="P19" s="2049"/>
      <c r="Q19" s="2042"/>
      <c r="R19" s="2042"/>
      <c r="S19" s="2042"/>
      <c r="T19" s="2042"/>
      <c r="U19" s="2042"/>
      <c r="V19" s="2042"/>
      <c r="W19" s="2042"/>
      <c r="X19" s="2042"/>
      <c r="Y19" s="2042"/>
      <c r="Z19" s="2042"/>
      <c r="AA19" s="2042"/>
      <c r="AB19" s="2042"/>
      <c r="AC19" s="2042"/>
      <c r="AD19" s="2042"/>
      <c r="AE19" s="2051"/>
      <c r="AF19" s="2558"/>
      <c r="AG19" s="2554"/>
      <c r="AH19" s="2554"/>
      <c r="AI19" s="2558"/>
      <c r="AJ19" s="2554"/>
      <c r="AK19" s="2554"/>
      <c r="AL19" s="1992"/>
      <c r="AM19" s="1829"/>
      <c r="AN19" s="1829"/>
      <c r="AO19" s="1829"/>
      <c r="AP19" s="1829"/>
      <c r="AQ19" s="1829"/>
      <c r="AR19" s="1829"/>
      <c r="AS19" s="1829"/>
      <c r="AT19" s="1829"/>
      <c r="AU19" s="1829"/>
      <c r="AV19" s="1829"/>
      <c r="AW19" s="1829"/>
      <c r="AX19" s="1829"/>
      <c r="AY19" s="1829"/>
      <c r="AZ19" s="1829"/>
      <c r="BA19" s="1829"/>
      <c r="BB19" s="1829"/>
      <c r="BC19" s="1829"/>
      <c r="BD19" s="1829"/>
      <c r="BE19" s="1829"/>
      <c r="BF19" s="1829"/>
      <c r="BG19" s="1642"/>
    </row>
    <row customHeight="1" ht="11.25">
      <c r="A20" s="1173" t="s">
        <v>1044</v>
      </c>
      <c r="B20" s="1173"/>
      <c r="C20" s="1173"/>
      <c r="D20" s="1167"/>
      <c r="E20" s="1177"/>
      <c r="F20" s="1835"/>
      <c r="G20" s="690" t="s">
        <v>576</v>
      </c>
      <c r="H20" s="2535" t="s">
        <v>109</v>
      </c>
      <c r="I20" s="2536"/>
      <c r="J20" s="2505"/>
      <c r="K20" s="2537" t="s">
        <v>1076</v>
      </c>
      <c r="L20" s="2127" t="s">
        <v>19</v>
      </c>
      <c r="M20" s="2128"/>
      <c r="N20" s="1990"/>
      <c r="O20" s="1184" t="s">
        <v>375</v>
      </c>
      <c r="P20" s="1185"/>
      <c r="Q20" s="1185"/>
      <c r="R20" s="1185"/>
      <c r="S20" s="1185"/>
      <c r="T20" s="1185"/>
      <c r="U20" s="1185"/>
      <c r="V20" s="1185"/>
      <c r="W20" s="1185"/>
      <c r="X20" s="1185"/>
      <c r="Y20" s="1185"/>
      <c r="Z20" s="1185"/>
      <c r="AA20" s="1185"/>
      <c r="AB20" s="1185"/>
      <c r="AC20" s="1185"/>
      <c r="AD20" s="1185"/>
      <c r="AE20" s="1185"/>
      <c r="AF20" s="2526">
        <v>2024</v>
      </c>
      <c r="AG20" s="2527" t="s">
        <v>1077</v>
      </c>
      <c r="AH20" s="2527" t="s">
        <v>1078</v>
      </c>
      <c r="AI20" s="2668"/>
      <c r="AJ20" s="2527" t="s">
        <v>1079</v>
      </c>
      <c r="AK20" s="2527" t="s">
        <v>1079</v>
      </c>
      <c r="AL20" s="1992"/>
      <c r="AM20" s="1829"/>
      <c r="AN20" s="1829"/>
      <c r="AO20" s="1829"/>
      <c r="AP20" s="1829"/>
      <c r="AQ20" s="1829"/>
      <c r="AR20" s="1829"/>
      <c r="AS20" s="1829"/>
      <c r="AT20" s="1829"/>
      <c r="AU20" s="1829"/>
      <c r="AV20" s="1829"/>
      <c r="AW20" s="1829"/>
      <c r="AX20" s="1829"/>
      <c r="AY20" s="1829"/>
      <c r="AZ20" s="1829"/>
      <c r="BA20" s="1829"/>
      <c r="BB20" s="1829"/>
      <c r="BC20" s="1829"/>
      <c r="BD20" s="1829"/>
      <c r="BE20" s="1829"/>
      <c r="BF20" s="1829"/>
      <c r="BG20" s="1642"/>
    </row>
    <row customHeight="1" ht="11.25">
      <c r="A21" s="1173" t="s">
        <v>1044</v>
      </c>
      <c r="B21" s="1173"/>
      <c r="C21" s="1173"/>
      <c r="D21" s="1167"/>
      <c r="E21" s="1177"/>
      <c r="F21" s="1835"/>
      <c r="G21" s="1836"/>
      <c r="H21" s="2535" t="s">
        <v>375</v>
      </c>
      <c r="I21" s="2536"/>
      <c r="J21" s="2505"/>
      <c r="K21" s="2537"/>
      <c r="L21" s="2127"/>
      <c r="M21" s="2128"/>
      <c r="N21" s="2528"/>
      <c r="O21" s="2529">
        <v>1</v>
      </c>
      <c r="P21" s="2530" t="s">
        <v>61</v>
      </c>
      <c r="Q21" s="2656" t="s">
        <v>1080</v>
      </c>
      <c r="R21" s="2657" t="s">
        <v>1081</v>
      </c>
      <c r="S21" s="2657" t="s">
        <v>99</v>
      </c>
      <c r="T21" s="2657" t="s">
        <v>100</v>
      </c>
      <c r="U21" s="2657" t="s">
        <v>101</v>
      </c>
      <c r="V21" s="2657" t="s">
        <v>1082</v>
      </c>
      <c r="W21" s="2657" t="s">
        <v>1083</v>
      </c>
      <c r="X21" s="2657" t="s">
        <v>1082</v>
      </c>
      <c r="Y21" s="2657" t="s">
        <v>1084</v>
      </c>
      <c r="Z21" s="1182"/>
      <c r="AA21" s="1183"/>
      <c r="AB21" s="1183"/>
      <c r="AC21" s="1187"/>
      <c r="AD21" s="1187"/>
      <c r="AE21" s="1188"/>
      <c r="AF21" s="2526"/>
      <c r="AG21" s="2527"/>
      <c r="AH21" s="2527"/>
      <c r="AI21" s="2668"/>
      <c r="AJ21" s="2527"/>
      <c r="AK21" s="2527"/>
      <c r="AL21" s="1992"/>
      <c r="AM21" s="1829"/>
      <c r="AN21" s="1829"/>
      <c r="AO21" s="1829"/>
      <c r="AP21" s="1829"/>
      <c r="AQ21" s="1829"/>
      <c r="AR21" s="1829"/>
      <c r="AS21" s="1829"/>
      <c r="AT21" s="1829"/>
      <c r="AU21" s="1829"/>
      <c r="AV21" s="1829"/>
      <c r="AW21" s="1829"/>
      <c r="AX21" s="1829"/>
      <c r="AY21" s="1829"/>
      <c r="AZ21" s="1829"/>
      <c r="BA21" s="1829"/>
      <c r="BB21" s="1829"/>
      <c r="BC21" s="1829"/>
      <c r="BD21" s="1829"/>
      <c r="BE21" s="1829"/>
      <c r="BF21" s="1829"/>
      <c r="BG21" s="1642"/>
    </row>
    <row customHeight="1" ht="11.25">
      <c r="A22" s="1173" t="s">
        <v>1044</v>
      </c>
      <c r="B22" s="1173"/>
      <c r="C22" s="1173"/>
      <c r="D22" s="1167"/>
      <c r="E22" s="1177"/>
      <c r="F22" s="1835"/>
      <c r="G22" s="1836"/>
      <c r="H22" s="2535" t="s">
        <v>375</v>
      </c>
      <c r="I22" s="2536"/>
      <c r="J22" s="2505"/>
      <c r="K22" s="2537"/>
      <c r="L22" s="2127"/>
      <c r="M22" s="2128"/>
      <c r="N22" s="2528"/>
      <c r="O22" s="2529"/>
      <c r="P22" s="2531"/>
      <c r="Q22" s="2656"/>
      <c r="R22" s="2533"/>
      <c r="S22" s="2534"/>
      <c r="T22" s="2533"/>
      <c r="U22" s="2533"/>
      <c r="V22" s="2533"/>
      <c r="W22" s="2533"/>
      <c r="X22" s="2533"/>
      <c r="Y22" s="2533"/>
      <c r="Z22" s="1834"/>
      <c r="AA22" s="1800">
        <v>1</v>
      </c>
      <c r="AB22" s="1186" t="s">
        <v>1085</v>
      </c>
      <c r="AC22" s="1176">
        <v>55869.5</v>
      </c>
      <c r="AD22" s="1186" t="str">
        <f>AB22</f>
        <v>  Федеральный бюджет</v>
      </c>
      <c r="AE22" s="1176">
        <v>5702.206</v>
      </c>
      <c r="AF22" s="2526"/>
      <c r="AG22" s="2527"/>
      <c r="AH22" s="2527"/>
      <c r="AI22" s="2668"/>
      <c r="AJ22" s="2527"/>
      <c r="AK22" s="2527"/>
      <c r="AL22" s="1992"/>
      <c r="AM22" s="1829"/>
      <c r="AN22" s="1829"/>
      <c r="AO22" s="1829"/>
      <c r="AP22" s="1829"/>
      <c r="AQ22" s="1829"/>
      <c r="AR22" s="1829"/>
      <c r="AS22" s="1829"/>
      <c r="AT22" s="1829"/>
      <c r="AU22" s="1829"/>
      <c r="AV22" s="1829"/>
      <c r="AW22" s="1829"/>
      <c r="AX22" s="1829"/>
      <c r="AY22" s="1829"/>
      <c r="AZ22" s="1829"/>
      <c r="BA22" s="1829"/>
      <c r="BB22" s="1829"/>
      <c r="BC22" s="1829"/>
      <c r="BD22" s="1829"/>
      <c r="BE22" s="1829"/>
      <c r="BF22" s="1829"/>
      <c r="BG22" s="1642"/>
    </row>
    <row customHeight="1" ht="11.25">
      <c r="A23" s="1173" t="s">
        <v>1044</v>
      </c>
      <c r="B23" s="1173"/>
      <c r="C23" s="1173"/>
      <c r="D23" s="1167"/>
      <c r="E23" s="1177"/>
      <c r="F23" s="1836"/>
      <c r="G23" s="1836"/>
      <c r="H23" s="1836"/>
      <c r="I23" s="1836"/>
      <c r="J23" s="1836"/>
      <c r="K23" s="1836"/>
      <c r="L23" s="1836"/>
      <c r="M23" s="1836"/>
      <c r="N23" s="1836"/>
      <c r="O23" s="1836"/>
      <c r="P23" s="1836"/>
      <c r="Q23" s="1836"/>
      <c r="R23" s="1836"/>
      <c r="S23" s="1836"/>
      <c r="T23" s="1836"/>
      <c r="U23" s="1836"/>
      <c r="V23" s="1836"/>
      <c r="W23" s="1836"/>
      <c r="X23" s="1836"/>
      <c r="Y23" s="1836"/>
      <c r="Z23" s="690" t="s">
        <v>576</v>
      </c>
      <c r="AA23" s="1820" t="s">
        <v>110</v>
      </c>
      <c r="AB23" s="1186" t="s">
        <v>1086</v>
      </c>
      <c r="AC23" s="1176">
        <v>33856.7</v>
      </c>
      <c r="AD23" s="1186" t="str">
        <f>AB23</f>
        <v>  Бюджет субъекта РФ</v>
      </c>
      <c r="AE23" s="1176">
        <v>4235.115</v>
      </c>
      <c r="AF23" s="2093"/>
      <c r="AG23" s="1765"/>
      <c r="AH23" s="1765"/>
      <c r="AI23" s="2669"/>
      <c r="AJ23" s="1765"/>
      <c r="AK23" s="1991"/>
      <c r="AL23" s="1992"/>
      <c r="AM23" s="1829"/>
      <c r="AN23" s="1829"/>
      <c r="AO23" s="1829"/>
      <c r="AP23" s="1829"/>
      <c r="AQ23" s="1829"/>
      <c r="AR23" s="1829"/>
      <c r="AS23" s="1829"/>
      <c r="AT23" s="1829"/>
      <c r="AU23" s="1829"/>
      <c r="AV23" s="1829"/>
      <c r="AW23" s="1829"/>
      <c r="AX23" s="1829"/>
      <c r="AY23" s="1829"/>
      <c r="AZ23" s="1829"/>
      <c r="BA23" s="1829"/>
      <c r="BB23" s="1829"/>
      <c r="BC23" s="1829"/>
      <c r="BD23" s="1829"/>
      <c r="BE23" s="1829"/>
      <c r="BF23" s="1829"/>
      <c r="BG23" s="1642"/>
    </row>
    <row customHeight="1" ht="11.25">
      <c r="A24" s="1173" t="s">
        <v>1044</v>
      </c>
      <c r="B24" s="1173"/>
      <c r="C24" s="1173"/>
      <c r="D24" s="1167"/>
      <c r="E24" s="1177"/>
      <c r="F24" s="1836"/>
      <c r="G24" s="1836"/>
      <c r="H24" s="1836"/>
      <c r="I24" s="1836"/>
      <c r="J24" s="1836"/>
      <c r="K24" s="1836"/>
      <c r="L24" s="1836"/>
      <c r="M24" s="1836"/>
      <c r="N24" s="1836"/>
      <c r="O24" s="1836"/>
      <c r="P24" s="1836"/>
      <c r="Q24" s="1836"/>
      <c r="R24" s="1836"/>
      <c r="S24" s="1836"/>
      <c r="T24" s="1836"/>
      <c r="U24" s="1836"/>
      <c r="V24" s="1836"/>
      <c r="W24" s="1836"/>
      <c r="X24" s="1836"/>
      <c r="Y24" s="1836"/>
      <c r="Z24" s="690" t="s">
        <v>576</v>
      </c>
      <c r="AA24" s="1820" t="s">
        <v>89</v>
      </c>
      <c r="AB24" s="1186" t="s">
        <v>1087</v>
      </c>
      <c r="AC24" s="1176">
        <v>2775.04</v>
      </c>
      <c r="AD24" s="1186" t="str">
        <f>AB24</f>
        <v>  Бюджет муниципального образования</v>
      </c>
      <c r="AE24" s="1176">
        <v>347.127</v>
      </c>
      <c r="AF24" s="2093"/>
      <c r="AG24" s="1765"/>
      <c r="AH24" s="1765"/>
      <c r="AI24" s="2669"/>
      <c r="AJ24" s="1765"/>
      <c r="AK24" s="1991"/>
      <c r="AL24" s="1992"/>
      <c r="AM24" s="1829"/>
      <c r="AN24" s="1829"/>
      <c r="AO24" s="1829"/>
      <c r="AP24" s="1829"/>
      <c r="AQ24" s="1829"/>
      <c r="AR24" s="1829"/>
      <c r="AS24" s="1829"/>
      <c r="AT24" s="1829"/>
      <c r="AU24" s="1829"/>
      <c r="AV24" s="1829"/>
      <c r="AW24" s="1829"/>
      <c r="AX24" s="1829"/>
      <c r="AY24" s="1829"/>
      <c r="AZ24" s="1829"/>
      <c r="BA24" s="1829"/>
      <c r="BB24" s="1829"/>
      <c r="BC24" s="1829"/>
      <c r="BD24" s="1829"/>
      <c r="BE24" s="1829"/>
      <c r="BF24" s="1829"/>
      <c r="BG24" s="1642"/>
    </row>
    <row customHeight="1" ht="11.25">
      <c r="A25" s="1173" t="s">
        <v>1044</v>
      </c>
      <c r="B25" s="1173"/>
      <c r="C25" s="1173"/>
      <c r="D25" s="1167"/>
      <c r="E25" s="1177"/>
      <c r="F25" s="1835"/>
      <c r="G25" s="1836"/>
      <c r="H25" s="2535" t="s">
        <v>375</v>
      </c>
      <c r="I25" s="2536"/>
      <c r="J25" s="2505"/>
      <c r="K25" s="2537"/>
      <c r="L25" s="2127"/>
      <c r="M25" s="2128"/>
      <c r="N25" s="2528"/>
      <c r="O25" s="2529"/>
      <c r="P25" s="2532"/>
      <c r="Q25" s="2656"/>
      <c r="R25" s="2533"/>
      <c r="S25" s="2534"/>
      <c r="T25" s="2533"/>
      <c r="U25" s="2533"/>
      <c r="V25" s="2533"/>
      <c r="W25" s="2533"/>
      <c r="X25" s="2533"/>
      <c r="Y25" s="2533"/>
      <c r="Z25" s="1182"/>
      <c r="AA25" s="1183"/>
      <c r="AB25" s="1248" t="s">
        <v>1088</v>
      </c>
      <c r="AC25" s="1187"/>
      <c r="AD25" s="1187"/>
      <c r="AE25" s="1189"/>
      <c r="AF25" s="2526"/>
      <c r="AG25" s="2527"/>
      <c r="AH25" s="2527"/>
      <c r="AI25" s="2668"/>
      <c r="AJ25" s="2527"/>
      <c r="AK25" s="2527"/>
      <c r="AL25" s="1992"/>
      <c r="AM25" s="1829"/>
      <c r="AN25" s="1829"/>
      <c r="AO25" s="1829"/>
      <c r="AP25" s="1829"/>
      <c r="AQ25" s="1829"/>
      <c r="AR25" s="1829"/>
      <c r="AS25" s="1829"/>
      <c r="AT25" s="1829"/>
      <c r="AU25" s="1829"/>
      <c r="AV25" s="1829"/>
      <c r="AW25" s="1829"/>
      <c r="AX25" s="1829"/>
      <c r="AY25" s="1829"/>
      <c r="AZ25" s="1829"/>
      <c r="BA25" s="1829"/>
      <c r="BB25" s="1829"/>
      <c r="BC25" s="1829"/>
      <c r="BD25" s="1829"/>
      <c r="BE25" s="1829"/>
      <c r="BF25" s="1829"/>
      <c r="BG25" s="1642"/>
    </row>
    <row customHeight="1" ht="11.25">
      <c r="A26" s="1173" t="s">
        <v>1044</v>
      </c>
      <c r="B26" s="1173"/>
      <c r="C26" s="1173"/>
      <c r="D26" s="1167"/>
      <c r="E26" s="1177"/>
      <c r="F26" s="1835"/>
      <c r="G26" s="1836"/>
      <c r="H26" s="2535" t="s">
        <v>375</v>
      </c>
      <c r="I26" s="2536"/>
      <c r="J26" s="2505"/>
      <c r="K26" s="2537"/>
      <c r="L26" s="2127"/>
      <c r="M26" s="2128"/>
      <c r="N26" s="1182"/>
      <c r="O26" s="1183"/>
      <c r="P26" s="1175" t="s">
        <v>1089</v>
      </c>
      <c r="Q26" s="1183"/>
      <c r="R26" s="1183"/>
      <c r="S26" s="1183"/>
      <c r="T26" s="1183"/>
      <c r="U26" s="1183"/>
      <c r="V26" s="1183"/>
      <c r="W26" s="1183"/>
      <c r="X26" s="1183"/>
      <c r="Y26" s="1183"/>
      <c r="Z26" s="1183"/>
      <c r="AA26" s="1183"/>
      <c r="AB26" s="1183"/>
      <c r="AC26" s="1183"/>
      <c r="AD26" s="1183"/>
      <c r="AE26" s="1190"/>
      <c r="AF26" s="2526"/>
      <c r="AG26" s="2527"/>
      <c r="AH26" s="2527"/>
      <c r="AI26" s="2668"/>
      <c r="AJ26" s="2527"/>
      <c r="AK26" s="2527"/>
      <c r="AL26" s="1992"/>
      <c r="AM26" s="1829"/>
      <c r="AN26" s="1829"/>
      <c r="AO26" s="1829"/>
      <c r="AP26" s="1829"/>
      <c r="AQ26" s="1829"/>
      <c r="AR26" s="1829"/>
      <c r="AS26" s="1829"/>
      <c r="AT26" s="1829"/>
      <c r="AU26" s="1829"/>
      <c r="AV26" s="1829"/>
      <c r="AW26" s="1829"/>
      <c r="AX26" s="1829"/>
      <c r="AY26" s="1829"/>
      <c r="AZ26" s="1829"/>
      <c r="BA26" s="1829"/>
      <c r="BB26" s="1829"/>
      <c r="BC26" s="1829"/>
      <c r="BD26" s="1829"/>
      <c r="BE26" s="1829"/>
      <c r="BF26" s="1829"/>
      <c r="BG26" s="1642"/>
    </row>
    <row customHeight="1" ht="11.25">
      <c r="A27" s="1173" t="s">
        <v>1044</v>
      </c>
      <c r="B27" s="1173"/>
      <c r="C27" s="1173"/>
      <c r="D27" s="1167"/>
      <c r="E27" s="1177"/>
      <c r="F27" s="1835"/>
      <c r="G27" s="690" t="s">
        <v>576</v>
      </c>
      <c r="H27" s="2535" t="s">
        <v>110</v>
      </c>
      <c r="I27" s="2536"/>
      <c r="J27" s="2505"/>
      <c r="K27" s="2537" t="s">
        <v>1090</v>
      </c>
      <c r="L27" s="2127" t="s">
        <v>19</v>
      </c>
      <c r="M27" s="2128"/>
      <c r="N27" s="1990"/>
      <c r="O27" s="1184" t="s">
        <v>375</v>
      </c>
      <c r="P27" s="1185"/>
      <c r="Q27" s="1185"/>
      <c r="R27" s="1185"/>
      <c r="S27" s="1185"/>
      <c r="T27" s="1185"/>
      <c r="U27" s="1185"/>
      <c r="V27" s="1185"/>
      <c r="W27" s="1185"/>
      <c r="X27" s="1185"/>
      <c r="Y27" s="1185"/>
      <c r="Z27" s="1185"/>
      <c r="AA27" s="1185"/>
      <c r="AB27" s="1185"/>
      <c r="AC27" s="1185"/>
      <c r="AD27" s="1185"/>
      <c r="AE27" s="1185"/>
      <c r="AF27" s="2526">
        <v>2026</v>
      </c>
      <c r="AG27" s="2527" t="s">
        <v>1077</v>
      </c>
      <c r="AH27" s="2527" t="s">
        <v>1091</v>
      </c>
      <c r="AI27" s="2668"/>
      <c r="AJ27" s="2527" t="s">
        <v>1092</v>
      </c>
      <c r="AK27" s="2527" t="s">
        <v>1092</v>
      </c>
      <c r="AL27" s="1992"/>
      <c r="AM27" s="1829"/>
      <c r="AN27" s="1829"/>
      <c r="AO27" s="1829"/>
      <c r="AP27" s="1829"/>
      <c r="AQ27" s="1829"/>
      <c r="AR27" s="1829"/>
      <c r="AS27" s="1829"/>
      <c r="AT27" s="1829"/>
      <c r="AU27" s="1829"/>
      <c r="AV27" s="1829"/>
      <c r="AW27" s="1829"/>
      <c r="AX27" s="1829"/>
      <c r="AY27" s="1829"/>
      <c r="AZ27" s="1829"/>
      <c r="BA27" s="1829"/>
      <c r="BB27" s="1829"/>
      <c r="BC27" s="1829"/>
      <c r="BD27" s="1829"/>
      <c r="BE27" s="1829"/>
      <c r="BF27" s="1829"/>
      <c r="BG27" s="1642"/>
    </row>
    <row customHeight="1" ht="11.25">
      <c r="A28" s="1173" t="s">
        <v>1044</v>
      </c>
      <c r="B28" s="1173"/>
      <c r="C28" s="1173"/>
      <c r="D28" s="1167"/>
      <c r="E28" s="1177"/>
      <c r="F28" s="1835"/>
      <c r="G28" s="1836"/>
      <c r="H28" s="2535" t="s">
        <v>109</v>
      </c>
      <c r="I28" s="2536"/>
      <c r="J28" s="2505"/>
      <c r="K28" s="2537"/>
      <c r="L28" s="2127"/>
      <c r="M28" s="2128"/>
      <c r="N28" s="2528"/>
      <c r="O28" s="2529">
        <v>1</v>
      </c>
      <c r="P28" s="2530" t="s">
        <v>61</v>
      </c>
      <c r="Q28" s="2656" t="s">
        <v>1093</v>
      </c>
      <c r="R28" s="2657" t="s">
        <v>1081</v>
      </c>
      <c r="S28" s="2657" t="s">
        <v>99</v>
      </c>
      <c r="T28" s="2657" t="s">
        <v>100</v>
      </c>
      <c r="U28" s="2657" t="s">
        <v>101</v>
      </c>
      <c r="V28" s="2657" t="s">
        <v>1082</v>
      </c>
      <c r="W28" s="2657" t="s">
        <v>1083</v>
      </c>
      <c r="X28" s="2657" t="s">
        <v>1082</v>
      </c>
      <c r="Y28" s="2657" t="s">
        <v>1084</v>
      </c>
      <c r="Z28" s="1182"/>
      <c r="AA28" s="1183"/>
      <c r="AB28" s="1183"/>
      <c r="AC28" s="1187"/>
      <c r="AD28" s="1187"/>
      <c r="AE28" s="1188"/>
      <c r="AF28" s="2526"/>
      <c r="AG28" s="2527"/>
      <c r="AH28" s="2527"/>
      <c r="AI28" s="2668"/>
      <c r="AJ28" s="2527"/>
      <c r="AK28" s="2527"/>
      <c r="AL28" s="1992"/>
      <c r="AM28" s="1829"/>
      <c r="AN28" s="1829"/>
      <c r="AO28" s="1829"/>
      <c r="AP28" s="1829"/>
      <c r="AQ28" s="1829"/>
      <c r="AR28" s="1829"/>
      <c r="AS28" s="1829"/>
      <c r="AT28" s="1829"/>
      <c r="AU28" s="1829"/>
      <c r="AV28" s="1829"/>
      <c r="AW28" s="1829"/>
      <c r="AX28" s="1829"/>
      <c r="AY28" s="1829"/>
      <c r="AZ28" s="1829"/>
      <c r="BA28" s="1829"/>
      <c r="BB28" s="1829"/>
      <c r="BC28" s="1829"/>
      <c r="BD28" s="1829"/>
      <c r="BE28" s="1829"/>
      <c r="BF28" s="1829"/>
      <c r="BG28" s="1642"/>
    </row>
    <row customHeight="1" ht="11.25">
      <c r="A29" s="1173" t="s">
        <v>1044</v>
      </c>
      <c r="B29" s="1173"/>
      <c r="C29" s="1173"/>
      <c r="D29" s="1167"/>
      <c r="E29" s="1177"/>
      <c r="F29" s="1835"/>
      <c r="G29" s="1836"/>
      <c r="H29" s="2535" t="s">
        <v>109</v>
      </c>
      <c r="I29" s="2536"/>
      <c r="J29" s="2505"/>
      <c r="K29" s="2537"/>
      <c r="L29" s="2127"/>
      <c r="M29" s="2128"/>
      <c r="N29" s="2528"/>
      <c r="O29" s="2529"/>
      <c r="P29" s="2531"/>
      <c r="Q29" s="2656"/>
      <c r="R29" s="2533"/>
      <c r="S29" s="2534"/>
      <c r="T29" s="2533"/>
      <c r="U29" s="2533"/>
      <c r="V29" s="2533"/>
      <c r="W29" s="2533"/>
      <c r="X29" s="2533"/>
      <c r="Y29" s="2533"/>
      <c r="Z29" s="1834"/>
      <c r="AA29" s="1800">
        <v>1</v>
      </c>
      <c r="AB29" s="1186" t="s">
        <v>1094</v>
      </c>
      <c r="AC29" s="1176">
        <v>1468.36</v>
      </c>
      <c r="AD29" s="1186" t="str">
        <f>AB29</f>
        <v>  Прочие собственные средства</v>
      </c>
      <c r="AE29" s="1176">
        <v>0</v>
      </c>
      <c r="AF29" s="2526"/>
      <c r="AG29" s="2527"/>
      <c r="AH29" s="2527"/>
      <c r="AI29" s="2668"/>
      <c r="AJ29" s="2527"/>
      <c r="AK29" s="2527"/>
      <c r="AL29" s="1992"/>
      <c r="AM29" s="1829"/>
      <c r="AN29" s="1829"/>
      <c r="AO29" s="1829"/>
      <c r="AP29" s="1829"/>
      <c r="AQ29" s="1829"/>
      <c r="AR29" s="1829"/>
      <c r="AS29" s="1829"/>
      <c r="AT29" s="1829"/>
      <c r="AU29" s="1829"/>
      <c r="AV29" s="1829"/>
      <c r="AW29" s="1829"/>
      <c r="AX29" s="1829"/>
      <c r="AY29" s="1829"/>
      <c r="AZ29" s="1829"/>
      <c r="BA29" s="1829"/>
      <c r="BB29" s="1829"/>
      <c r="BC29" s="1829"/>
      <c r="BD29" s="1829"/>
      <c r="BE29" s="1829"/>
      <c r="BF29" s="1829"/>
      <c r="BG29" s="1642"/>
    </row>
    <row customHeight="1" ht="11.25">
      <c r="A30" s="1173" t="s">
        <v>1044</v>
      </c>
      <c r="B30" s="1173"/>
      <c r="C30" s="1173"/>
      <c r="D30" s="1167"/>
      <c r="E30" s="1177"/>
      <c r="F30" s="1836"/>
      <c r="G30" s="1836"/>
      <c r="H30" s="1836"/>
      <c r="I30" s="1836"/>
      <c r="J30" s="1836"/>
      <c r="K30" s="1836"/>
      <c r="L30" s="1836"/>
      <c r="M30" s="1836"/>
      <c r="N30" s="1836"/>
      <c r="O30" s="1836"/>
      <c r="P30" s="1836"/>
      <c r="Q30" s="1836"/>
      <c r="R30" s="1836"/>
      <c r="S30" s="1836"/>
      <c r="T30" s="1836"/>
      <c r="U30" s="1836"/>
      <c r="V30" s="1836"/>
      <c r="W30" s="1836"/>
      <c r="X30" s="1836"/>
      <c r="Y30" s="1836"/>
      <c r="Z30" s="690" t="s">
        <v>576</v>
      </c>
      <c r="AA30" s="1820" t="s">
        <v>110</v>
      </c>
      <c r="AB30" s="1186" t="s">
        <v>1095</v>
      </c>
      <c r="AC30" s="1176">
        <v>265.78</v>
      </c>
      <c r="AD30" s="1186" t="str">
        <f>AB30</f>
        <v>     Прочие амортизационные отчисления</v>
      </c>
      <c r="AE30" s="1176">
        <v>0</v>
      </c>
      <c r="AF30" s="2093"/>
      <c r="AG30" s="1765"/>
      <c r="AH30" s="1765"/>
      <c r="AI30" s="2669"/>
      <c r="AJ30" s="1765"/>
      <c r="AK30" s="1991"/>
      <c r="AL30" s="1992"/>
      <c r="AM30" s="1829"/>
      <c r="AN30" s="1829"/>
      <c r="AO30" s="1829"/>
      <c r="AP30" s="1829"/>
      <c r="AQ30" s="1829"/>
      <c r="AR30" s="1829"/>
      <c r="AS30" s="1829"/>
      <c r="AT30" s="1829"/>
      <c r="AU30" s="1829"/>
      <c r="AV30" s="1829"/>
      <c r="AW30" s="1829"/>
      <c r="AX30" s="1829"/>
      <c r="AY30" s="1829"/>
      <c r="AZ30" s="1829"/>
      <c r="BA30" s="1829"/>
      <c r="BB30" s="1829"/>
      <c r="BC30" s="1829"/>
      <c r="BD30" s="1829"/>
      <c r="BE30" s="1829"/>
      <c r="BF30" s="1829"/>
      <c r="BG30" s="1642"/>
    </row>
    <row customHeight="1" ht="11.25">
      <c r="A31" s="1173" t="s">
        <v>1044</v>
      </c>
      <c r="B31" s="1173"/>
      <c r="C31" s="1173"/>
      <c r="D31" s="1167"/>
      <c r="E31" s="1177"/>
      <c r="F31" s="1835"/>
      <c r="G31" s="1836"/>
      <c r="H31" s="2535" t="s">
        <v>109</v>
      </c>
      <c r="I31" s="2536"/>
      <c r="J31" s="2505"/>
      <c r="K31" s="2537"/>
      <c r="L31" s="2127"/>
      <c r="M31" s="2128"/>
      <c r="N31" s="2528"/>
      <c r="O31" s="2529"/>
      <c r="P31" s="2532"/>
      <c r="Q31" s="2656"/>
      <c r="R31" s="2533"/>
      <c r="S31" s="2534"/>
      <c r="T31" s="2533"/>
      <c r="U31" s="2533"/>
      <c r="V31" s="2533"/>
      <c r="W31" s="2533"/>
      <c r="X31" s="2533"/>
      <c r="Y31" s="2533"/>
      <c r="Z31" s="1182"/>
      <c r="AA31" s="1183"/>
      <c r="AB31" s="1248" t="s">
        <v>1088</v>
      </c>
      <c r="AC31" s="1187"/>
      <c r="AD31" s="1187"/>
      <c r="AE31" s="1189"/>
      <c r="AF31" s="2526"/>
      <c r="AG31" s="2527"/>
      <c r="AH31" s="2527"/>
      <c r="AI31" s="2668"/>
      <c r="AJ31" s="2527"/>
      <c r="AK31" s="2527"/>
      <c r="AL31" s="1992"/>
      <c r="AM31" s="1829"/>
      <c r="AN31" s="1829"/>
      <c r="AO31" s="1829"/>
      <c r="AP31" s="1829"/>
      <c r="AQ31" s="1829"/>
      <c r="AR31" s="1829"/>
      <c r="AS31" s="1829"/>
      <c r="AT31" s="1829"/>
      <c r="AU31" s="1829"/>
      <c r="AV31" s="1829"/>
      <c r="AW31" s="1829"/>
      <c r="AX31" s="1829"/>
      <c r="AY31" s="1829"/>
      <c r="AZ31" s="1829"/>
      <c r="BA31" s="1829"/>
      <c r="BB31" s="1829"/>
      <c r="BC31" s="1829"/>
      <c r="BD31" s="1829"/>
      <c r="BE31" s="1829"/>
      <c r="BF31" s="1829"/>
      <c r="BG31" s="1642"/>
    </row>
    <row customHeight="1" ht="11.25">
      <c r="A32" s="1173" t="s">
        <v>1044</v>
      </c>
      <c r="B32" s="1173"/>
      <c r="C32" s="1173"/>
      <c r="D32" s="1167"/>
      <c r="E32" s="1177"/>
      <c r="F32" s="1835"/>
      <c r="G32" s="1836"/>
      <c r="H32" s="2535" t="s">
        <v>109</v>
      </c>
      <c r="I32" s="2536"/>
      <c r="J32" s="2505"/>
      <c r="K32" s="2537"/>
      <c r="L32" s="2127"/>
      <c r="M32" s="2128"/>
      <c r="N32" s="1182"/>
      <c r="O32" s="1183"/>
      <c r="P32" s="1175" t="s">
        <v>1089</v>
      </c>
      <c r="Q32" s="1183"/>
      <c r="R32" s="1183"/>
      <c r="S32" s="1183"/>
      <c r="T32" s="1183"/>
      <c r="U32" s="1183"/>
      <c r="V32" s="1183"/>
      <c r="W32" s="1183"/>
      <c r="X32" s="1183"/>
      <c r="Y32" s="1183"/>
      <c r="Z32" s="1183"/>
      <c r="AA32" s="1183"/>
      <c r="AB32" s="1183"/>
      <c r="AC32" s="1183"/>
      <c r="AD32" s="1183"/>
      <c r="AE32" s="1190"/>
      <c r="AF32" s="2526"/>
      <c r="AG32" s="2527"/>
      <c r="AH32" s="2527"/>
      <c r="AI32" s="2668"/>
      <c r="AJ32" s="2527"/>
      <c r="AK32" s="2527"/>
      <c r="AL32" s="1992"/>
      <c r="AM32" s="1829"/>
      <c r="AN32" s="1829"/>
      <c r="AO32" s="1829"/>
      <c r="AP32" s="1829"/>
      <c r="AQ32" s="1829"/>
      <c r="AR32" s="1829"/>
      <c r="AS32" s="1829"/>
      <c r="AT32" s="1829"/>
      <c r="AU32" s="1829"/>
      <c r="AV32" s="1829"/>
      <c r="AW32" s="1829"/>
      <c r="AX32" s="1829"/>
      <c r="AY32" s="1829"/>
      <c r="AZ32" s="1829"/>
      <c r="BA32" s="1829"/>
      <c r="BB32" s="1829"/>
      <c r="BC32" s="1829"/>
      <c r="BD32" s="1829"/>
      <c r="BE32" s="1829"/>
      <c r="BF32" s="1829"/>
      <c r="BG32" s="1642"/>
    </row>
    <row customHeight="1" ht="11.25">
      <c r="A33" s="1173" t="s">
        <v>1044</v>
      </c>
      <c r="B33" s="1173"/>
      <c r="C33" s="1173"/>
      <c r="D33" s="1167"/>
      <c r="E33" s="1177"/>
      <c r="F33" s="1835"/>
      <c r="G33" s="690" t="s">
        <v>576</v>
      </c>
      <c r="H33" s="2535" t="s">
        <v>89</v>
      </c>
      <c r="I33" s="2536"/>
      <c r="J33" s="2505"/>
      <c r="K33" s="2537" t="s">
        <v>1096</v>
      </c>
      <c r="L33" s="2127" t="s">
        <v>19</v>
      </c>
      <c r="M33" s="2128"/>
      <c r="N33" s="1990"/>
      <c r="O33" s="1184" t="s">
        <v>375</v>
      </c>
      <c r="P33" s="1185"/>
      <c r="Q33" s="1185"/>
      <c r="R33" s="1185"/>
      <c r="S33" s="1185"/>
      <c r="T33" s="1185"/>
      <c r="U33" s="1185"/>
      <c r="V33" s="1185"/>
      <c r="W33" s="1185"/>
      <c r="X33" s="1185"/>
      <c r="Y33" s="1185"/>
      <c r="Z33" s="1185"/>
      <c r="AA33" s="1185"/>
      <c r="AB33" s="1185"/>
      <c r="AC33" s="1185"/>
      <c r="AD33" s="1185"/>
      <c r="AE33" s="1185"/>
      <c r="AF33" s="2526">
        <v>2024</v>
      </c>
      <c r="AG33" s="2527" t="s">
        <v>1077</v>
      </c>
      <c r="AH33" s="2527" t="s">
        <v>1078</v>
      </c>
      <c r="AI33" s="2668"/>
      <c r="AJ33" s="2527" t="s">
        <v>1079</v>
      </c>
      <c r="AK33" s="2527" t="s">
        <v>1079</v>
      </c>
      <c r="AL33" s="1992"/>
      <c r="AM33" s="1829"/>
      <c r="AN33" s="1829"/>
      <c r="AO33" s="1829"/>
      <c r="AP33" s="1829"/>
      <c r="AQ33" s="1829"/>
      <c r="AR33" s="1829"/>
      <c r="AS33" s="1829"/>
      <c r="AT33" s="1829"/>
      <c r="AU33" s="1829"/>
      <c r="AV33" s="1829"/>
      <c r="AW33" s="1829"/>
      <c r="AX33" s="1829"/>
      <c r="AY33" s="1829"/>
      <c r="AZ33" s="1829"/>
      <c r="BA33" s="1829"/>
      <c r="BB33" s="1829"/>
      <c r="BC33" s="1829"/>
      <c r="BD33" s="1829"/>
      <c r="BE33" s="1829"/>
      <c r="BF33" s="1829"/>
      <c r="BG33" s="1642"/>
    </row>
    <row customHeight="1" ht="11.25">
      <c r="A34" s="1173" t="s">
        <v>1044</v>
      </c>
      <c r="B34" s="1173"/>
      <c r="C34" s="1173"/>
      <c r="D34" s="1167"/>
      <c r="E34" s="1177"/>
      <c r="F34" s="1835"/>
      <c r="G34" s="1836"/>
      <c r="H34" s="2535" t="s">
        <v>110</v>
      </c>
      <c r="I34" s="2536"/>
      <c r="J34" s="2505"/>
      <c r="K34" s="2537"/>
      <c r="L34" s="2127"/>
      <c r="M34" s="2128"/>
      <c r="N34" s="2528"/>
      <c r="O34" s="2529">
        <v>1</v>
      </c>
      <c r="P34" s="2530" t="s">
        <v>61</v>
      </c>
      <c r="Q34" s="2656" t="s">
        <v>1097</v>
      </c>
      <c r="R34" s="2657" t="s">
        <v>1098</v>
      </c>
      <c r="S34" s="2657" t="s">
        <v>99</v>
      </c>
      <c r="T34" s="2657" t="s">
        <v>100</v>
      </c>
      <c r="U34" s="2657" t="s">
        <v>101</v>
      </c>
      <c r="V34" s="2657" t="s">
        <v>1082</v>
      </c>
      <c r="W34" s="2657" t="s">
        <v>1083</v>
      </c>
      <c r="X34" s="2657" t="s">
        <v>1082</v>
      </c>
      <c r="Y34" s="2657" t="s">
        <v>1082</v>
      </c>
      <c r="Z34" s="1182"/>
      <c r="AA34" s="1183"/>
      <c r="AB34" s="1183"/>
      <c r="AC34" s="1187"/>
      <c r="AD34" s="1187"/>
      <c r="AE34" s="1188"/>
      <c r="AF34" s="2526"/>
      <c r="AG34" s="2527"/>
      <c r="AH34" s="2527"/>
      <c r="AI34" s="2668"/>
      <c r="AJ34" s="2527"/>
      <c r="AK34" s="2527"/>
      <c r="AL34" s="1992"/>
      <c r="AM34" s="1829"/>
      <c r="AN34" s="1829"/>
      <c r="AO34" s="1829"/>
      <c r="AP34" s="1829"/>
      <c r="AQ34" s="1829"/>
      <c r="AR34" s="1829"/>
      <c r="AS34" s="1829"/>
      <c r="AT34" s="1829"/>
      <c r="AU34" s="1829"/>
      <c r="AV34" s="1829"/>
      <c r="AW34" s="1829"/>
      <c r="AX34" s="1829"/>
      <c r="AY34" s="1829"/>
      <c r="AZ34" s="1829"/>
      <c r="BA34" s="1829"/>
      <c r="BB34" s="1829"/>
      <c r="BC34" s="1829"/>
      <c r="BD34" s="1829"/>
      <c r="BE34" s="1829"/>
      <c r="BF34" s="1829"/>
      <c r="BG34" s="1642"/>
    </row>
    <row customHeight="1" ht="11.25">
      <c r="A35" s="1173" t="s">
        <v>1044</v>
      </c>
      <c r="B35" s="1173"/>
      <c r="C35" s="1173"/>
      <c r="D35" s="1167"/>
      <c r="E35" s="1177"/>
      <c r="F35" s="1835"/>
      <c r="G35" s="1836"/>
      <c r="H35" s="2535" t="s">
        <v>110</v>
      </c>
      <c r="I35" s="2536"/>
      <c r="J35" s="2505"/>
      <c r="K35" s="2537"/>
      <c r="L35" s="2127"/>
      <c r="M35" s="2128"/>
      <c r="N35" s="2528"/>
      <c r="O35" s="2529"/>
      <c r="P35" s="2531"/>
      <c r="Q35" s="2656"/>
      <c r="R35" s="2533"/>
      <c r="S35" s="2534"/>
      <c r="T35" s="2533"/>
      <c r="U35" s="2533"/>
      <c r="V35" s="2533"/>
      <c r="W35" s="2533"/>
      <c r="X35" s="2533"/>
      <c r="Y35" s="2533"/>
      <c r="Z35" s="1834"/>
      <c r="AA35" s="1800">
        <v>1</v>
      </c>
      <c r="AB35" s="1186" t="s">
        <v>1094</v>
      </c>
      <c r="AC35" s="1176">
        <v>100</v>
      </c>
      <c r="AD35" s="1186" t="str">
        <f>AB35</f>
        <v>  Прочие собственные средства</v>
      </c>
      <c r="AE35" s="1176">
        <v>0</v>
      </c>
      <c r="AF35" s="2526"/>
      <c r="AG35" s="2527"/>
      <c r="AH35" s="2527"/>
      <c r="AI35" s="2668"/>
      <c r="AJ35" s="2527"/>
      <c r="AK35" s="2527"/>
      <c r="AL35" s="1992"/>
      <c r="AM35" s="1829"/>
      <c r="AN35" s="1829"/>
      <c r="AO35" s="1829"/>
      <c r="AP35" s="1829"/>
      <c r="AQ35" s="1829"/>
      <c r="AR35" s="1829"/>
      <c r="AS35" s="1829"/>
      <c r="AT35" s="1829"/>
      <c r="AU35" s="1829"/>
      <c r="AV35" s="1829"/>
      <c r="AW35" s="1829"/>
      <c r="AX35" s="1829"/>
      <c r="AY35" s="1829"/>
      <c r="AZ35" s="1829"/>
      <c r="BA35" s="1829"/>
      <c r="BB35" s="1829"/>
      <c r="BC35" s="1829"/>
      <c r="BD35" s="1829"/>
      <c r="BE35" s="1829"/>
      <c r="BF35" s="1829"/>
      <c r="BG35" s="1642"/>
    </row>
    <row customHeight="1" ht="11.25">
      <c r="A36" s="1173" t="s">
        <v>1044</v>
      </c>
      <c r="B36" s="1173"/>
      <c r="C36" s="1173"/>
      <c r="D36" s="1167"/>
      <c r="E36" s="1177"/>
      <c r="F36" s="1835"/>
      <c r="G36" s="1836"/>
      <c r="H36" s="2535" t="s">
        <v>110</v>
      </c>
      <c r="I36" s="2536"/>
      <c r="J36" s="2505"/>
      <c r="K36" s="2537"/>
      <c r="L36" s="2127"/>
      <c r="M36" s="2128"/>
      <c r="N36" s="2528"/>
      <c r="O36" s="2529"/>
      <c r="P36" s="2532"/>
      <c r="Q36" s="2656"/>
      <c r="R36" s="2533"/>
      <c r="S36" s="2534"/>
      <c r="T36" s="2533"/>
      <c r="U36" s="2533"/>
      <c r="V36" s="2533"/>
      <c r="W36" s="2533"/>
      <c r="X36" s="2533"/>
      <c r="Y36" s="2533"/>
      <c r="Z36" s="1182"/>
      <c r="AA36" s="1183"/>
      <c r="AB36" s="1248" t="s">
        <v>1088</v>
      </c>
      <c r="AC36" s="1187"/>
      <c r="AD36" s="1187"/>
      <c r="AE36" s="1189"/>
      <c r="AF36" s="2526"/>
      <c r="AG36" s="2527"/>
      <c r="AH36" s="2527"/>
      <c r="AI36" s="2668"/>
      <c r="AJ36" s="2527"/>
      <c r="AK36" s="2527"/>
      <c r="AL36" s="1992"/>
      <c r="AM36" s="1829"/>
      <c r="AN36" s="1829"/>
      <c r="AO36" s="1829"/>
      <c r="AP36" s="1829"/>
      <c r="AQ36" s="1829"/>
      <c r="AR36" s="1829"/>
      <c r="AS36" s="1829"/>
      <c r="AT36" s="1829"/>
      <c r="AU36" s="1829"/>
      <c r="AV36" s="1829"/>
      <c r="AW36" s="1829"/>
      <c r="AX36" s="1829"/>
      <c r="AY36" s="1829"/>
      <c r="AZ36" s="1829"/>
      <c r="BA36" s="1829"/>
      <c r="BB36" s="1829"/>
      <c r="BC36" s="1829"/>
      <c r="BD36" s="1829"/>
      <c r="BE36" s="1829"/>
      <c r="BF36" s="1829"/>
      <c r="BG36" s="1642"/>
    </row>
    <row customHeight="1" ht="11.25">
      <c r="A37" s="1173" t="s">
        <v>1044</v>
      </c>
      <c r="B37" s="1173"/>
      <c r="C37" s="1173"/>
      <c r="D37" s="1167"/>
      <c r="E37" s="1177"/>
      <c r="F37" s="1835"/>
      <c r="G37" s="1836"/>
      <c r="H37" s="2535" t="s">
        <v>110</v>
      </c>
      <c r="I37" s="2536"/>
      <c r="J37" s="2505"/>
      <c r="K37" s="2537"/>
      <c r="L37" s="2127"/>
      <c r="M37" s="2128"/>
      <c r="N37" s="1182"/>
      <c r="O37" s="1183"/>
      <c r="P37" s="1175" t="s">
        <v>1089</v>
      </c>
      <c r="Q37" s="1183"/>
      <c r="R37" s="1183"/>
      <c r="S37" s="1183"/>
      <c r="T37" s="1183"/>
      <c r="U37" s="1183"/>
      <c r="V37" s="1183"/>
      <c r="W37" s="1183"/>
      <c r="X37" s="1183"/>
      <c r="Y37" s="1183"/>
      <c r="Z37" s="1183"/>
      <c r="AA37" s="1183"/>
      <c r="AB37" s="1183"/>
      <c r="AC37" s="1183"/>
      <c r="AD37" s="1183"/>
      <c r="AE37" s="1190"/>
      <c r="AF37" s="2526"/>
      <c r="AG37" s="2527"/>
      <c r="AH37" s="2527"/>
      <c r="AI37" s="2668"/>
      <c r="AJ37" s="2527"/>
      <c r="AK37" s="2527"/>
      <c r="AL37" s="1992"/>
      <c r="AM37" s="1829"/>
      <c r="AN37" s="1829"/>
      <c r="AO37" s="1829"/>
      <c r="AP37" s="1829"/>
      <c r="AQ37" s="1829"/>
      <c r="AR37" s="1829"/>
      <c r="AS37" s="1829"/>
      <c r="AT37" s="1829"/>
      <c r="AU37" s="1829"/>
      <c r="AV37" s="1829"/>
      <c r="AW37" s="1829"/>
      <c r="AX37" s="1829"/>
      <c r="AY37" s="1829"/>
      <c r="AZ37" s="1829"/>
      <c r="BA37" s="1829"/>
      <c r="BB37" s="1829"/>
      <c r="BC37" s="1829"/>
      <c r="BD37" s="1829"/>
      <c r="BE37" s="1829"/>
      <c r="BF37" s="1829"/>
      <c r="BG37" s="1642"/>
    </row>
    <row customHeight="1" ht="11.25">
      <c r="A38" s="1173" t="s">
        <v>1044</v>
      </c>
      <c r="B38" s="1173"/>
      <c r="C38" s="1173"/>
      <c r="D38" s="1167"/>
      <c r="E38" s="1177"/>
      <c r="F38" s="1835"/>
      <c r="G38" s="690" t="s">
        <v>576</v>
      </c>
      <c r="H38" s="2535" t="s">
        <v>90</v>
      </c>
      <c r="I38" s="2536"/>
      <c r="J38" s="2505"/>
      <c r="K38" s="2537" t="s">
        <v>1099</v>
      </c>
      <c r="L38" s="2127" t="s">
        <v>19</v>
      </c>
      <c r="M38" s="2128"/>
      <c r="N38" s="1990"/>
      <c r="O38" s="1184" t="s">
        <v>375</v>
      </c>
      <c r="P38" s="1185"/>
      <c r="Q38" s="1185"/>
      <c r="R38" s="1185"/>
      <c r="S38" s="1185"/>
      <c r="T38" s="1185"/>
      <c r="U38" s="1185"/>
      <c r="V38" s="1185"/>
      <c r="W38" s="1185"/>
      <c r="X38" s="1185"/>
      <c r="Y38" s="1185"/>
      <c r="Z38" s="1185"/>
      <c r="AA38" s="1185"/>
      <c r="AB38" s="1185"/>
      <c r="AC38" s="1185"/>
      <c r="AD38" s="1185"/>
      <c r="AE38" s="1185"/>
      <c r="AF38" s="2526">
        <v>2024</v>
      </c>
      <c r="AG38" s="2527" t="s">
        <v>1077</v>
      </c>
      <c r="AH38" s="2527" t="s">
        <v>1078</v>
      </c>
      <c r="AI38" s="2526">
        <v>2024</v>
      </c>
      <c r="AJ38" s="2527" t="s">
        <v>1100</v>
      </c>
      <c r="AK38" s="2527" t="s">
        <v>1078</v>
      </c>
      <c r="AL38" s="1992"/>
      <c r="AM38" s="1829"/>
      <c r="AN38" s="1829"/>
      <c r="AO38" s="1829"/>
      <c r="AP38" s="1829"/>
      <c r="AQ38" s="1829"/>
      <c r="AR38" s="1829"/>
      <c r="AS38" s="1829"/>
      <c r="AT38" s="1829"/>
      <c r="AU38" s="1829"/>
      <c r="AV38" s="1829"/>
      <c r="AW38" s="1829"/>
      <c r="AX38" s="1829"/>
      <c r="AY38" s="1829"/>
      <c r="AZ38" s="1829"/>
      <c r="BA38" s="1829"/>
      <c r="BB38" s="1829"/>
      <c r="BC38" s="1829"/>
      <c r="BD38" s="1829"/>
      <c r="BE38" s="1829"/>
      <c r="BF38" s="1829"/>
      <c r="BG38" s="1642"/>
    </row>
    <row customHeight="1" ht="11.25">
      <c r="A39" s="1173" t="s">
        <v>1044</v>
      </c>
      <c r="B39" s="1173"/>
      <c r="C39" s="1173"/>
      <c r="D39" s="1167"/>
      <c r="E39" s="1177"/>
      <c r="F39" s="1835"/>
      <c r="G39" s="1836"/>
      <c r="H39" s="2535" t="s">
        <v>89</v>
      </c>
      <c r="I39" s="2536"/>
      <c r="J39" s="2505"/>
      <c r="K39" s="2537"/>
      <c r="L39" s="2127"/>
      <c r="M39" s="2128"/>
      <c r="N39" s="2528"/>
      <c r="O39" s="2529">
        <v>1</v>
      </c>
      <c r="P39" s="2530" t="s">
        <v>61</v>
      </c>
      <c r="Q39" s="2656" t="s">
        <v>1097</v>
      </c>
      <c r="R39" s="2657" t="s">
        <v>1098</v>
      </c>
      <c r="S39" s="2657" t="s">
        <v>99</v>
      </c>
      <c r="T39" s="2657" t="s">
        <v>100</v>
      </c>
      <c r="U39" s="2657" t="s">
        <v>101</v>
      </c>
      <c r="V39" s="2657" t="s">
        <v>1082</v>
      </c>
      <c r="W39" s="2657" t="s">
        <v>1083</v>
      </c>
      <c r="X39" s="2657" t="s">
        <v>1082</v>
      </c>
      <c r="Y39" s="2657" t="s">
        <v>1082</v>
      </c>
      <c r="Z39" s="1182"/>
      <c r="AA39" s="1183"/>
      <c r="AB39" s="1183"/>
      <c r="AC39" s="1187"/>
      <c r="AD39" s="1187"/>
      <c r="AE39" s="1188"/>
      <c r="AF39" s="2526"/>
      <c r="AG39" s="2527"/>
      <c r="AH39" s="2527"/>
      <c r="AI39" s="2526"/>
      <c r="AJ39" s="2527"/>
      <c r="AK39" s="2527"/>
      <c r="AL39" s="1992"/>
      <c r="AM39" s="1829"/>
      <c r="AN39" s="1829"/>
      <c r="AO39" s="1829"/>
      <c r="AP39" s="1829"/>
      <c r="AQ39" s="1829"/>
      <c r="AR39" s="1829"/>
      <c r="AS39" s="1829"/>
      <c r="AT39" s="1829"/>
      <c r="AU39" s="1829"/>
      <c r="AV39" s="1829"/>
      <c r="AW39" s="1829"/>
      <c r="AX39" s="1829"/>
      <c r="AY39" s="1829"/>
      <c r="AZ39" s="1829"/>
      <c r="BA39" s="1829"/>
      <c r="BB39" s="1829"/>
      <c r="BC39" s="1829"/>
      <c r="BD39" s="1829"/>
      <c r="BE39" s="1829"/>
      <c r="BF39" s="1829"/>
      <c r="BG39" s="1642"/>
    </row>
    <row customHeight="1" ht="11.25">
      <c r="A40" s="1173" t="s">
        <v>1044</v>
      </c>
      <c r="B40" s="1173"/>
      <c r="C40" s="1173"/>
      <c r="D40" s="1167"/>
      <c r="E40" s="1177"/>
      <c r="F40" s="1835"/>
      <c r="G40" s="1836"/>
      <c r="H40" s="2535" t="s">
        <v>89</v>
      </c>
      <c r="I40" s="2536"/>
      <c r="J40" s="2505"/>
      <c r="K40" s="2537"/>
      <c r="L40" s="2127"/>
      <c r="M40" s="2128"/>
      <c r="N40" s="2528"/>
      <c r="O40" s="2529"/>
      <c r="P40" s="2531"/>
      <c r="Q40" s="2656"/>
      <c r="R40" s="2533"/>
      <c r="S40" s="2534"/>
      <c r="T40" s="2533"/>
      <c r="U40" s="2533"/>
      <c r="V40" s="2533"/>
      <c r="W40" s="2533"/>
      <c r="X40" s="2533"/>
      <c r="Y40" s="2533"/>
      <c r="Z40" s="1834"/>
      <c r="AA40" s="1800">
        <v>1</v>
      </c>
      <c r="AB40" s="1186" t="s">
        <v>1086</v>
      </c>
      <c r="AC40" s="1176">
        <v>22248.2</v>
      </c>
      <c r="AD40" s="1186" t="str">
        <f>AB40</f>
        <v>  Бюджет субъекта РФ</v>
      </c>
      <c r="AE40" s="1176">
        <v>22248.2</v>
      </c>
      <c r="AF40" s="2526"/>
      <c r="AG40" s="2527"/>
      <c r="AH40" s="2527"/>
      <c r="AI40" s="2526"/>
      <c r="AJ40" s="2527"/>
      <c r="AK40" s="2527"/>
      <c r="AL40" s="1992"/>
      <c r="AM40" s="1829"/>
      <c r="AN40" s="1829"/>
      <c r="AO40" s="1829"/>
      <c r="AP40" s="1829"/>
      <c r="AQ40" s="1829"/>
      <c r="AR40" s="1829"/>
      <c r="AS40" s="1829"/>
      <c r="AT40" s="1829"/>
      <c r="AU40" s="1829"/>
      <c r="AV40" s="1829"/>
      <c r="AW40" s="1829"/>
      <c r="AX40" s="1829"/>
      <c r="AY40" s="1829"/>
      <c r="AZ40" s="1829"/>
      <c r="BA40" s="1829"/>
      <c r="BB40" s="1829"/>
      <c r="BC40" s="1829"/>
      <c r="BD40" s="1829"/>
      <c r="BE40" s="1829"/>
      <c r="BF40" s="1829"/>
      <c r="BG40" s="1642"/>
    </row>
    <row customHeight="1" ht="11.25">
      <c r="A41" s="1173" t="s">
        <v>1044</v>
      </c>
      <c r="B41" s="1173"/>
      <c r="C41" s="1173"/>
      <c r="D41" s="1167"/>
      <c r="E41" s="1177"/>
      <c r="F41" s="1836"/>
      <c r="G41" s="1836"/>
      <c r="H41" s="1836"/>
      <c r="I41" s="1836"/>
      <c r="J41" s="1836"/>
      <c r="K41" s="1836"/>
      <c r="L41" s="1836"/>
      <c r="M41" s="1836"/>
      <c r="N41" s="1836"/>
      <c r="O41" s="1836"/>
      <c r="P41" s="1836"/>
      <c r="Q41" s="1836"/>
      <c r="R41" s="1836"/>
      <c r="S41" s="1836"/>
      <c r="T41" s="1836"/>
      <c r="U41" s="1836"/>
      <c r="V41" s="1836"/>
      <c r="W41" s="1836"/>
      <c r="X41" s="1836"/>
      <c r="Y41" s="1836"/>
      <c r="Z41" s="690" t="s">
        <v>576</v>
      </c>
      <c r="AA41" s="1820" t="s">
        <v>110</v>
      </c>
      <c r="AB41" s="1186" t="s">
        <v>1087</v>
      </c>
      <c r="AC41" s="1176">
        <v>688.25</v>
      </c>
      <c r="AD41" s="1186" t="str">
        <f>AB41</f>
        <v>  Бюджет муниципального образования</v>
      </c>
      <c r="AE41" s="1176">
        <v>688.25</v>
      </c>
      <c r="AF41" s="2093"/>
      <c r="AG41" s="1765"/>
      <c r="AH41" s="1765"/>
      <c r="AI41" s="2093"/>
      <c r="AJ41" s="1765"/>
      <c r="AK41" s="1991"/>
      <c r="AL41" s="1992"/>
      <c r="AM41" s="1829"/>
      <c r="AN41" s="1829"/>
      <c r="AO41" s="1829"/>
      <c r="AP41" s="1829"/>
      <c r="AQ41" s="1829"/>
      <c r="AR41" s="1829"/>
      <c r="AS41" s="1829"/>
      <c r="AT41" s="1829"/>
      <c r="AU41" s="1829"/>
      <c r="AV41" s="1829"/>
      <c r="AW41" s="1829"/>
      <c r="AX41" s="1829"/>
      <c r="AY41" s="1829"/>
      <c r="AZ41" s="1829"/>
      <c r="BA41" s="1829"/>
      <c r="BB41" s="1829"/>
      <c r="BC41" s="1829"/>
      <c r="BD41" s="1829"/>
      <c r="BE41" s="1829"/>
      <c r="BF41" s="1829"/>
      <c r="BG41" s="1642"/>
    </row>
    <row customHeight="1" ht="11.25">
      <c r="A42" s="1173" t="s">
        <v>1044</v>
      </c>
      <c r="B42" s="1173"/>
      <c r="C42" s="1173"/>
      <c r="D42" s="1167"/>
      <c r="E42" s="1177"/>
      <c r="F42" s="1835"/>
      <c r="G42" s="1836"/>
      <c r="H42" s="2535" t="s">
        <v>89</v>
      </c>
      <c r="I42" s="2536"/>
      <c r="J42" s="2505"/>
      <c r="K42" s="2537"/>
      <c r="L42" s="2127"/>
      <c r="M42" s="2128"/>
      <c r="N42" s="2528"/>
      <c r="O42" s="2529"/>
      <c r="P42" s="2532"/>
      <c r="Q42" s="2656"/>
      <c r="R42" s="2533"/>
      <c r="S42" s="2534"/>
      <c r="T42" s="2533"/>
      <c r="U42" s="2533"/>
      <c r="V42" s="2533"/>
      <c r="W42" s="2533"/>
      <c r="X42" s="2533"/>
      <c r="Y42" s="2533"/>
      <c r="Z42" s="1182"/>
      <c r="AA42" s="1183"/>
      <c r="AB42" s="1248" t="s">
        <v>1088</v>
      </c>
      <c r="AC42" s="1187"/>
      <c r="AD42" s="1187"/>
      <c r="AE42" s="1189"/>
      <c r="AF42" s="2526"/>
      <c r="AG42" s="2527"/>
      <c r="AH42" s="2527"/>
      <c r="AI42" s="2526"/>
      <c r="AJ42" s="2527"/>
      <c r="AK42" s="2527"/>
      <c r="AL42" s="1992"/>
      <c r="AM42" s="1829"/>
      <c r="AN42" s="1829"/>
      <c r="AO42" s="1829"/>
      <c r="AP42" s="1829"/>
      <c r="AQ42" s="1829"/>
      <c r="AR42" s="1829"/>
      <c r="AS42" s="1829"/>
      <c r="AT42" s="1829"/>
      <c r="AU42" s="1829"/>
      <c r="AV42" s="1829"/>
      <c r="AW42" s="1829"/>
      <c r="AX42" s="1829"/>
      <c r="AY42" s="1829"/>
      <c r="AZ42" s="1829"/>
      <c r="BA42" s="1829"/>
      <c r="BB42" s="1829"/>
      <c r="BC42" s="1829"/>
      <c r="BD42" s="1829"/>
      <c r="BE42" s="1829"/>
      <c r="BF42" s="1829"/>
      <c r="BG42" s="1642"/>
    </row>
    <row customHeight="1" ht="11.25">
      <c r="A43" s="1173" t="s">
        <v>1044</v>
      </c>
      <c r="B43" s="1173"/>
      <c r="C43" s="1173"/>
      <c r="D43" s="1167"/>
      <c r="E43" s="1177"/>
      <c r="F43" s="1835"/>
      <c r="G43" s="1836"/>
      <c r="H43" s="2535" t="s">
        <v>89</v>
      </c>
      <c r="I43" s="2536"/>
      <c r="J43" s="2505"/>
      <c r="K43" s="2537"/>
      <c r="L43" s="2127"/>
      <c r="M43" s="2128"/>
      <c r="N43" s="1182"/>
      <c r="O43" s="1183"/>
      <c r="P43" s="1175" t="s">
        <v>1089</v>
      </c>
      <c r="Q43" s="1183"/>
      <c r="R43" s="1183"/>
      <c r="S43" s="1183"/>
      <c r="T43" s="1183"/>
      <c r="U43" s="1183"/>
      <c r="V43" s="1183"/>
      <c r="W43" s="1183"/>
      <c r="X43" s="1183"/>
      <c r="Y43" s="1183"/>
      <c r="Z43" s="1183"/>
      <c r="AA43" s="1183"/>
      <c r="AB43" s="1183"/>
      <c r="AC43" s="1183"/>
      <c r="AD43" s="1183"/>
      <c r="AE43" s="1190"/>
      <c r="AF43" s="2526"/>
      <c r="AG43" s="2527"/>
      <c r="AH43" s="2527"/>
      <c r="AI43" s="2526"/>
      <c r="AJ43" s="2527"/>
      <c r="AK43" s="2527"/>
      <c r="AL43" s="1992"/>
      <c r="AM43" s="1829"/>
      <c r="AN43" s="1829"/>
      <c r="AO43" s="1829"/>
      <c r="AP43" s="1829"/>
      <c r="AQ43" s="1829"/>
      <c r="AR43" s="1829"/>
      <c r="AS43" s="1829"/>
      <c r="AT43" s="1829"/>
      <c r="AU43" s="1829"/>
      <c r="AV43" s="1829"/>
      <c r="AW43" s="1829"/>
      <c r="AX43" s="1829"/>
      <c r="AY43" s="1829"/>
      <c r="AZ43" s="1829"/>
      <c r="BA43" s="1829"/>
      <c r="BB43" s="1829"/>
      <c r="BC43" s="1829"/>
      <c r="BD43" s="1829"/>
      <c r="BE43" s="1829"/>
      <c r="BF43" s="1829"/>
      <c r="BG43" s="1642"/>
    </row>
    <row customHeight="1" ht="11.25">
      <c r="A44" s="1173" t="s">
        <v>1044</v>
      </c>
      <c r="B44" s="1173"/>
      <c r="C44" s="1173"/>
      <c r="D44" s="1167"/>
      <c r="E44" s="1177"/>
      <c r="F44" s="1835"/>
      <c r="G44" s="690" t="s">
        <v>576</v>
      </c>
      <c r="H44" s="2535" t="s">
        <v>111</v>
      </c>
      <c r="I44" s="2536"/>
      <c r="J44" s="2505"/>
      <c r="K44" s="2537" t="s">
        <v>1101</v>
      </c>
      <c r="L44" s="2127" t="s">
        <v>19</v>
      </c>
      <c r="M44" s="2128"/>
      <c r="N44" s="1990"/>
      <c r="O44" s="1184" t="s">
        <v>375</v>
      </c>
      <c r="P44" s="1185"/>
      <c r="Q44" s="1185"/>
      <c r="R44" s="1185"/>
      <c r="S44" s="1185"/>
      <c r="T44" s="1185"/>
      <c r="U44" s="1185"/>
      <c r="V44" s="1185"/>
      <c r="W44" s="1185"/>
      <c r="X44" s="1185"/>
      <c r="Y44" s="1185"/>
      <c r="Z44" s="1185"/>
      <c r="AA44" s="1185"/>
      <c r="AB44" s="1185"/>
      <c r="AC44" s="1185"/>
      <c r="AD44" s="1185"/>
      <c r="AE44" s="1185"/>
      <c r="AF44" s="2526">
        <v>2024</v>
      </c>
      <c r="AG44" s="2527" t="s">
        <v>1077</v>
      </c>
      <c r="AH44" s="2527" t="s">
        <v>1078</v>
      </c>
      <c r="AI44" s="2526">
        <v>2024</v>
      </c>
      <c r="AJ44" s="2527" t="s">
        <v>1100</v>
      </c>
      <c r="AK44" s="2527" t="s">
        <v>1078</v>
      </c>
      <c r="AL44" s="1992"/>
      <c r="AM44" s="1829"/>
      <c r="AN44" s="1829"/>
      <c r="AO44" s="1829"/>
      <c r="AP44" s="1829"/>
      <c r="AQ44" s="1829"/>
      <c r="AR44" s="1829"/>
      <c r="AS44" s="1829"/>
      <c r="AT44" s="1829"/>
      <c r="AU44" s="1829"/>
      <c r="AV44" s="1829"/>
      <c r="AW44" s="1829"/>
      <c r="AX44" s="1829"/>
      <c r="AY44" s="1829"/>
      <c r="AZ44" s="1829"/>
      <c r="BA44" s="1829"/>
      <c r="BB44" s="1829"/>
      <c r="BC44" s="1829"/>
      <c r="BD44" s="1829"/>
      <c r="BE44" s="1829"/>
      <c r="BF44" s="1829"/>
      <c r="BG44" s="1642"/>
    </row>
    <row customHeight="1" ht="11.25">
      <c r="A45" s="1173" t="s">
        <v>1044</v>
      </c>
      <c r="B45" s="1173"/>
      <c r="C45" s="1173"/>
      <c r="D45" s="1167"/>
      <c r="E45" s="1177"/>
      <c r="F45" s="1835"/>
      <c r="G45" s="1836"/>
      <c r="H45" s="2535" t="s">
        <v>90</v>
      </c>
      <c r="I45" s="2536"/>
      <c r="J45" s="2505"/>
      <c r="K45" s="2537"/>
      <c r="L45" s="2127"/>
      <c r="M45" s="2128"/>
      <c r="N45" s="2528"/>
      <c r="O45" s="2529">
        <v>1</v>
      </c>
      <c r="P45" s="2530" t="s">
        <v>61</v>
      </c>
      <c r="Q45" s="2656" t="s">
        <v>1097</v>
      </c>
      <c r="R45" s="2657" t="s">
        <v>1098</v>
      </c>
      <c r="S45" s="2657" t="s">
        <v>99</v>
      </c>
      <c r="T45" s="2657" t="s">
        <v>100</v>
      </c>
      <c r="U45" s="2657" t="s">
        <v>101</v>
      </c>
      <c r="V45" s="2657" t="s">
        <v>1082</v>
      </c>
      <c r="W45" s="2657" t="s">
        <v>1083</v>
      </c>
      <c r="X45" s="2657" t="s">
        <v>1082</v>
      </c>
      <c r="Y45" s="2657" t="s">
        <v>1082</v>
      </c>
      <c r="Z45" s="1182"/>
      <c r="AA45" s="1183"/>
      <c r="AB45" s="1183"/>
      <c r="AC45" s="1187"/>
      <c r="AD45" s="1187"/>
      <c r="AE45" s="1188"/>
      <c r="AF45" s="2526"/>
      <c r="AG45" s="2527"/>
      <c r="AH45" s="2527"/>
      <c r="AI45" s="2526"/>
      <c r="AJ45" s="2527"/>
      <c r="AK45" s="2527"/>
      <c r="AL45" s="1992"/>
      <c r="AM45" s="1829"/>
      <c r="AN45" s="1829"/>
      <c r="AO45" s="1829"/>
      <c r="AP45" s="1829"/>
      <c r="AQ45" s="1829"/>
      <c r="AR45" s="1829"/>
      <c r="AS45" s="1829"/>
      <c r="AT45" s="1829"/>
      <c r="AU45" s="1829"/>
      <c r="AV45" s="1829"/>
      <c r="AW45" s="1829"/>
      <c r="AX45" s="1829"/>
      <c r="AY45" s="1829"/>
      <c r="AZ45" s="1829"/>
      <c r="BA45" s="1829"/>
      <c r="BB45" s="1829"/>
      <c r="BC45" s="1829"/>
      <c r="BD45" s="1829"/>
      <c r="BE45" s="1829"/>
      <c r="BF45" s="1829"/>
      <c r="BG45" s="1642"/>
    </row>
    <row customHeight="1" ht="11.25">
      <c r="A46" s="1173" t="s">
        <v>1044</v>
      </c>
      <c r="B46" s="1173"/>
      <c r="C46" s="1173"/>
      <c r="D46" s="1167"/>
      <c r="E46" s="1177"/>
      <c r="F46" s="1835"/>
      <c r="G46" s="1836"/>
      <c r="H46" s="2535" t="s">
        <v>90</v>
      </c>
      <c r="I46" s="2536"/>
      <c r="J46" s="2505"/>
      <c r="K46" s="2537"/>
      <c r="L46" s="2127"/>
      <c r="M46" s="2128"/>
      <c r="N46" s="2528"/>
      <c r="O46" s="2529"/>
      <c r="P46" s="2531"/>
      <c r="Q46" s="2656"/>
      <c r="R46" s="2533"/>
      <c r="S46" s="2534"/>
      <c r="T46" s="2533"/>
      <c r="U46" s="2533"/>
      <c r="V46" s="2533"/>
      <c r="W46" s="2533"/>
      <c r="X46" s="2533"/>
      <c r="Y46" s="2533"/>
      <c r="Z46" s="1834"/>
      <c r="AA46" s="1800">
        <v>1</v>
      </c>
      <c r="AB46" s="1186" t="s">
        <v>1086</v>
      </c>
      <c r="AC46" s="1176">
        <v>5605.4</v>
      </c>
      <c r="AD46" s="1186" t="str">
        <f>AB46</f>
        <v>  Бюджет субъекта РФ</v>
      </c>
      <c r="AE46" s="1176">
        <v>5605.4</v>
      </c>
      <c r="AF46" s="2526"/>
      <c r="AG46" s="2527"/>
      <c r="AH46" s="2527"/>
      <c r="AI46" s="2526"/>
      <c r="AJ46" s="2527"/>
      <c r="AK46" s="2527"/>
      <c r="AL46" s="1992"/>
      <c r="AM46" s="1829"/>
      <c r="AN46" s="1829"/>
      <c r="AO46" s="1829"/>
      <c r="AP46" s="1829"/>
      <c r="AQ46" s="1829"/>
      <c r="AR46" s="1829"/>
      <c r="AS46" s="1829"/>
      <c r="AT46" s="1829"/>
      <c r="AU46" s="1829"/>
      <c r="AV46" s="1829"/>
      <c r="AW46" s="1829"/>
      <c r="AX46" s="1829"/>
      <c r="AY46" s="1829"/>
      <c r="AZ46" s="1829"/>
      <c r="BA46" s="1829"/>
      <c r="BB46" s="1829"/>
      <c r="BC46" s="1829"/>
      <c r="BD46" s="1829"/>
      <c r="BE46" s="1829"/>
      <c r="BF46" s="1829"/>
      <c r="BG46" s="1642"/>
    </row>
    <row customHeight="1" ht="11.25">
      <c r="A47" s="1173" t="s">
        <v>1044</v>
      </c>
      <c r="B47" s="1173"/>
      <c r="C47" s="1173"/>
      <c r="D47" s="1167"/>
      <c r="E47" s="1177"/>
      <c r="F47" s="1836"/>
      <c r="G47" s="1836"/>
      <c r="H47" s="1836"/>
      <c r="I47" s="1836"/>
      <c r="J47" s="1836"/>
      <c r="K47" s="1836"/>
      <c r="L47" s="1836"/>
      <c r="M47" s="1836"/>
      <c r="N47" s="1836"/>
      <c r="O47" s="1836"/>
      <c r="P47" s="1836"/>
      <c r="Q47" s="1836"/>
      <c r="R47" s="1836"/>
      <c r="S47" s="1836"/>
      <c r="T47" s="1836"/>
      <c r="U47" s="1836"/>
      <c r="V47" s="1836"/>
      <c r="W47" s="1836"/>
      <c r="X47" s="1836"/>
      <c r="Y47" s="1836"/>
      <c r="Z47" s="690" t="s">
        <v>576</v>
      </c>
      <c r="AA47" s="1820" t="s">
        <v>110</v>
      </c>
      <c r="AB47" s="1186" t="s">
        <v>1087</v>
      </c>
      <c r="AC47" s="1176">
        <v>174.22</v>
      </c>
      <c r="AD47" s="1186" t="str">
        <f>AB47</f>
        <v>  Бюджет муниципального образования</v>
      </c>
      <c r="AE47" s="1176">
        <v>174.22</v>
      </c>
      <c r="AF47" s="2093"/>
      <c r="AG47" s="1765"/>
      <c r="AH47" s="1765"/>
      <c r="AI47" s="2093"/>
      <c r="AJ47" s="1765"/>
      <c r="AK47" s="1991"/>
      <c r="AL47" s="1992"/>
      <c r="AM47" s="1829"/>
      <c r="AN47" s="1829"/>
      <c r="AO47" s="1829"/>
      <c r="AP47" s="1829"/>
      <c r="AQ47" s="1829"/>
      <c r="AR47" s="1829"/>
      <c r="AS47" s="1829"/>
      <c r="AT47" s="1829"/>
      <c r="AU47" s="1829"/>
      <c r="AV47" s="1829"/>
      <c r="AW47" s="1829"/>
      <c r="AX47" s="1829"/>
      <c r="AY47" s="1829"/>
      <c r="AZ47" s="1829"/>
      <c r="BA47" s="1829"/>
      <c r="BB47" s="1829"/>
      <c r="BC47" s="1829"/>
      <c r="BD47" s="1829"/>
      <c r="BE47" s="1829"/>
      <c r="BF47" s="1829"/>
      <c r="BG47" s="1642"/>
    </row>
    <row customHeight="1" ht="11.25">
      <c r="A48" s="1173" t="s">
        <v>1044</v>
      </c>
      <c r="B48" s="1173"/>
      <c r="C48" s="1173"/>
      <c r="D48" s="1167"/>
      <c r="E48" s="1177"/>
      <c r="F48" s="1835"/>
      <c r="G48" s="1836"/>
      <c r="H48" s="2535" t="s">
        <v>90</v>
      </c>
      <c r="I48" s="2536"/>
      <c r="J48" s="2505"/>
      <c r="K48" s="2537"/>
      <c r="L48" s="2127"/>
      <c r="M48" s="2128"/>
      <c r="N48" s="2528"/>
      <c r="O48" s="2529"/>
      <c r="P48" s="2532"/>
      <c r="Q48" s="2656"/>
      <c r="R48" s="2533"/>
      <c r="S48" s="2534"/>
      <c r="T48" s="2533"/>
      <c r="U48" s="2533"/>
      <c r="V48" s="2533"/>
      <c r="W48" s="2533"/>
      <c r="X48" s="2533"/>
      <c r="Y48" s="2533"/>
      <c r="Z48" s="1182"/>
      <c r="AA48" s="1183"/>
      <c r="AB48" s="1248" t="s">
        <v>1088</v>
      </c>
      <c r="AC48" s="1187"/>
      <c r="AD48" s="1187"/>
      <c r="AE48" s="1189"/>
      <c r="AF48" s="2526"/>
      <c r="AG48" s="2527"/>
      <c r="AH48" s="2527"/>
      <c r="AI48" s="2526"/>
      <c r="AJ48" s="2527"/>
      <c r="AK48" s="2527"/>
      <c r="AL48" s="1992"/>
      <c r="AM48" s="1829"/>
      <c r="AN48" s="1829"/>
      <c r="AO48" s="1829"/>
      <c r="AP48" s="1829"/>
      <c r="AQ48" s="1829"/>
      <c r="AR48" s="1829"/>
      <c r="AS48" s="1829"/>
      <c r="AT48" s="1829"/>
      <c r="AU48" s="1829"/>
      <c r="AV48" s="1829"/>
      <c r="AW48" s="1829"/>
      <c r="AX48" s="1829"/>
      <c r="AY48" s="1829"/>
      <c r="AZ48" s="1829"/>
      <c r="BA48" s="1829"/>
      <c r="BB48" s="1829"/>
      <c r="BC48" s="1829"/>
      <c r="BD48" s="1829"/>
      <c r="BE48" s="1829"/>
      <c r="BF48" s="1829"/>
      <c r="BG48" s="1642"/>
    </row>
    <row customHeight="1" ht="11.25">
      <c r="A49" s="1173" t="s">
        <v>1044</v>
      </c>
      <c r="B49" s="1173"/>
      <c r="C49" s="1173"/>
      <c r="D49" s="1167"/>
      <c r="E49" s="1177"/>
      <c r="F49" s="1835"/>
      <c r="G49" s="1836"/>
      <c r="H49" s="2535" t="s">
        <v>90</v>
      </c>
      <c r="I49" s="2536"/>
      <c r="J49" s="2505"/>
      <c r="K49" s="2537"/>
      <c r="L49" s="2127"/>
      <c r="M49" s="2128"/>
      <c r="N49" s="1182"/>
      <c r="O49" s="1183"/>
      <c r="P49" s="1175" t="s">
        <v>1089</v>
      </c>
      <c r="Q49" s="1183"/>
      <c r="R49" s="1183"/>
      <c r="S49" s="1183"/>
      <c r="T49" s="1183"/>
      <c r="U49" s="1183"/>
      <c r="V49" s="1183"/>
      <c r="W49" s="1183"/>
      <c r="X49" s="1183"/>
      <c r="Y49" s="1183"/>
      <c r="Z49" s="1183"/>
      <c r="AA49" s="1183"/>
      <c r="AB49" s="1183"/>
      <c r="AC49" s="1183"/>
      <c r="AD49" s="1183"/>
      <c r="AE49" s="1190"/>
      <c r="AF49" s="2526"/>
      <c r="AG49" s="2527"/>
      <c r="AH49" s="2527"/>
      <c r="AI49" s="2526"/>
      <c r="AJ49" s="2527"/>
      <c r="AK49" s="2527"/>
      <c r="AL49" s="1992"/>
      <c r="AM49" s="1829"/>
      <c r="AN49" s="1829"/>
      <c r="AO49" s="1829"/>
      <c r="AP49" s="1829"/>
      <c r="AQ49" s="1829"/>
      <c r="AR49" s="1829"/>
      <c r="AS49" s="1829"/>
      <c r="AT49" s="1829"/>
      <c r="AU49" s="1829"/>
      <c r="AV49" s="1829"/>
      <c r="AW49" s="1829"/>
      <c r="AX49" s="1829"/>
      <c r="AY49" s="1829"/>
      <c r="AZ49" s="1829"/>
      <c r="BA49" s="1829"/>
      <c r="BB49" s="1829"/>
      <c r="BC49" s="1829"/>
      <c r="BD49" s="1829"/>
      <c r="BE49" s="1829"/>
      <c r="BF49" s="1829"/>
      <c r="BG49" s="1642"/>
    </row>
    <row customHeight="1" ht="12">
      <c r="A50" s="1173" t="s">
        <v>1044</v>
      </c>
      <c r="B50" s="1173"/>
      <c r="C50" s="1173"/>
      <c r="D50" s="1167"/>
      <c r="E50" s="1177"/>
      <c r="F50" s="2557"/>
      <c r="G50" s="1197"/>
      <c r="H50" s="1197"/>
      <c r="I50" s="2555" t="s">
        <v>1102</v>
      </c>
      <c r="J50" s="2555"/>
      <c r="K50" s="2555"/>
      <c r="L50" s="1180"/>
      <c r="M50" s="1180"/>
      <c r="N50" s="1181"/>
      <c r="O50" s="1181"/>
      <c r="P50" s="1181"/>
      <c r="Q50" s="1181"/>
      <c r="R50" s="1181"/>
      <c r="S50" s="1181"/>
      <c r="T50" s="1181"/>
      <c r="U50" s="1181"/>
      <c r="V50" s="1181"/>
      <c r="W50" s="1181"/>
      <c r="X50" s="1181"/>
      <c r="Y50" s="1181"/>
      <c r="Z50" s="1181"/>
      <c r="AA50" s="1181"/>
      <c r="AB50" s="1181"/>
      <c r="AC50" s="1181"/>
      <c r="AD50" s="1181"/>
      <c r="AE50" s="1181"/>
      <c r="AF50" s="1181"/>
      <c r="AG50" s="1180"/>
      <c r="AH50" s="1180"/>
      <c r="AI50" s="1181"/>
      <c r="AJ50" s="1180"/>
      <c r="AK50" s="1181"/>
      <c r="AL50" s="1992"/>
      <c r="AM50" s="1829"/>
      <c r="AN50" s="1829"/>
      <c r="AO50" s="1829"/>
      <c r="AP50" s="1829"/>
      <c r="AQ50" s="1829"/>
      <c r="AR50" s="1829"/>
      <c r="AS50" s="1829"/>
      <c r="AT50" s="1829"/>
      <c r="AU50" s="1829"/>
      <c r="AV50" s="1829"/>
      <c r="AW50" s="1829"/>
      <c r="AX50" s="1829"/>
      <c r="AY50" s="1829"/>
      <c r="AZ50" s="1829"/>
      <c r="BA50" s="1829"/>
      <c r="BB50" s="1829"/>
      <c r="BC50" s="1829"/>
      <c r="BD50" s="1829"/>
      <c r="BE50" s="1829"/>
      <c r="BF50" s="1829"/>
      <c r="BG50" s="1642"/>
    </row>
    <row customHeight="1" ht="0.75">
      <c r="A51" s="1173" t="s">
        <v>1044</v>
      </c>
      <c r="B51" s="1173"/>
      <c r="C51" s="1173"/>
      <c r="D51" s="1167"/>
      <c r="E51" s="1177"/>
      <c r="F51" s="2556">
        <v>2025</v>
      </c>
      <c r="G51" s="2535"/>
      <c r="H51" s="2560" t="s">
        <v>375</v>
      </c>
      <c r="I51" s="2561"/>
      <c r="J51" s="2562"/>
      <c r="K51" s="2562"/>
      <c r="L51" s="2554"/>
      <c r="M51" s="2288"/>
      <c r="N51" s="2040"/>
      <c r="O51" s="2039"/>
      <c r="P51" s="2040"/>
      <c r="Q51" s="2040"/>
      <c r="R51" s="2040"/>
      <c r="S51" s="2040"/>
      <c r="T51" s="2040"/>
      <c r="U51" s="2040"/>
      <c r="V51" s="2040"/>
      <c r="W51" s="2040"/>
      <c r="X51" s="2040"/>
      <c r="Y51" s="2040"/>
      <c r="Z51" s="2040"/>
      <c r="AA51" s="2040"/>
      <c r="AB51" s="2040"/>
      <c r="AC51" s="2040"/>
      <c r="AD51" s="2040"/>
      <c r="AE51" s="2040"/>
      <c r="AF51" s="2558"/>
      <c r="AG51" s="2554"/>
      <c r="AH51" s="2554"/>
      <c r="AI51" s="2558"/>
      <c r="AJ51" s="2554"/>
      <c r="AK51" s="2554"/>
      <c r="AL51" s="1992"/>
      <c r="AM51" s="1829"/>
      <c r="AN51" s="1829"/>
      <c r="AO51" s="1829"/>
      <c r="AP51" s="1829"/>
      <c r="AQ51" s="1829"/>
      <c r="AR51" s="1829"/>
      <c r="AS51" s="1829"/>
      <c r="AT51" s="1829"/>
      <c r="AU51" s="1829"/>
      <c r="AV51" s="1829"/>
      <c r="AW51" s="1829"/>
      <c r="AX51" s="1829"/>
      <c r="AY51" s="1829"/>
      <c r="AZ51" s="1829"/>
      <c r="BA51" s="1829"/>
      <c r="BB51" s="1829"/>
      <c r="BC51" s="1829"/>
      <c r="BD51" s="1829"/>
      <c r="BE51" s="1829"/>
      <c r="BF51" s="1829"/>
      <c r="BG51" s="1642"/>
    </row>
    <row customHeight="1" ht="0.75">
      <c r="A52" s="1173" t="s">
        <v>1044</v>
      </c>
      <c r="B52" s="1173"/>
      <c r="C52" s="1173"/>
      <c r="D52" s="1167"/>
      <c r="E52" s="1177"/>
      <c r="F52" s="2556"/>
      <c r="G52" s="2535"/>
      <c r="H52" s="2560"/>
      <c r="I52" s="2561"/>
      <c r="J52" s="2562"/>
      <c r="K52" s="2562"/>
      <c r="L52" s="2554"/>
      <c r="M52" s="2288"/>
      <c r="N52" s="2563"/>
      <c r="O52" s="2564"/>
      <c r="P52" s="2608"/>
      <c r="Q52" s="2559"/>
      <c r="R52" s="2559"/>
      <c r="S52" s="2559"/>
      <c r="T52" s="2559"/>
      <c r="U52" s="2559"/>
      <c r="V52" s="2559"/>
      <c r="W52" s="2559"/>
      <c r="X52" s="2559"/>
      <c r="Y52" s="2559"/>
      <c r="Z52" s="2041"/>
      <c r="AA52" s="2042"/>
      <c r="AB52" s="2042"/>
      <c r="AC52" s="2043"/>
      <c r="AD52" s="2043"/>
      <c r="AE52" s="2044"/>
      <c r="AF52" s="2558"/>
      <c r="AG52" s="2554"/>
      <c r="AH52" s="2554"/>
      <c r="AI52" s="2558"/>
      <c r="AJ52" s="2554"/>
      <c r="AK52" s="2554"/>
      <c r="AL52" s="1992"/>
      <c r="AM52" s="1829"/>
      <c r="AN52" s="1829"/>
      <c r="AO52" s="1829"/>
      <c r="AP52" s="1829"/>
      <c r="AQ52" s="1829"/>
      <c r="AR52" s="1829"/>
      <c r="AS52" s="1829"/>
      <c r="AT52" s="1829"/>
      <c r="AU52" s="1829"/>
      <c r="AV52" s="1829"/>
      <c r="AW52" s="1829"/>
      <c r="AX52" s="1829"/>
      <c r="AY52" s="1829"/>
      <c r="AZ52" s="1829"/>
      <c r="BA52" s="1829"/>
      <c r="BB52" s="1829"/>
      <c r="BC52" s="1829"/>
      <c r="BD52" s="1829"/>
      <c r="BE52" s="1829"/>
      <c r="BF52" s="1829"/>
      <c r="BG52" s="1642"/>
    </row>
    <row customHeight="1" ht="0.75">
      <c r="A53" s="1173" t="s">
        <v>1044</v>
      </c>
      <c r="B53" s="1173"/>
      <c r="C53" s="1173"/>
      <c r="D53" s="1167"/>
      <c r="E53" s="1177"/>
      <c r="F53" s="2556"/>
      <c r="G53" s="2535"/>
      <c r="H53" s="2560"/>
      <c r="I53" s="2561"/>
      <c r="J53" s="2562"/>
      <c r="K53" s="2562"/>
      <c r="L53" s="2554"/>
      <c r="M53" s="2288"/>
      <c r="N53" s="2563"/>
      <c r="O53" s="2564"/>
      <c r="P53" s="2609"/>
      <c r="Q53" s="2559"/>
      <c r="R53" s="2559"/>
      <c r="S53" s="2559"/>
      <c r="T53" s="2559"/>
      <c r="U53" s="2559"/>
      <c r="V53" s="2559"/>
      <c r="W53" s="2559"/>
      <c r="X53" s="2559"/>
      <c r="Y53" s="2559"/>
      <c r="Z53" s="2045"/>
      <c r="AA53" s="2046"/>
      <c r="AB53" s="2047"/>
      <c r="AC53" s="2048"/>
      <c r="AD53" s="2047"/>
      <c r="AE53" s="2048"/>
      <c r="AF53" s="2558"/>
      <c r="AG53" s="2554"/>
      <c r="AH53" s="2554"/>
      <c r="AI53" s="2558"/>
      <c r="AJ53" s="2554"/>
      <c r="AK53" s="2554"/>
      <c r="AL53" s="1992"/>
      <c r="AM53" s="1829"/>
      <c r="AN53" s="1829"/>
      <c r="AO53" s="1829"/>
      <c r="AP53" s="1829"/>
      <c r="AQ53" s="1829"/>
      <c r="AR53" s="1829"/>
      <c r="AS53" s="1829"/>
      <c r="AT53" s="1829"/>
      <c r="AU53" s="1829"/>
      <c r="AV53" s="1829"/>
      <c r="AW53" s="1829"/>
      <c r="AX53" s="1829"/>
      <c r="AY53" s="1829"/>
      <c r="AZ53" s="1829"/>
      <c r="BA53" s="1829"/>
      <c r="BB53" s="1829"/>
      <c r="BC53" s="1829"/>
      <c r="BD53" s="1829"/>
      <c r="BE53" s="1829"/>
      <c r="BF53" s="1829"/>
      <c r="BG53" s="1642"/>
    </row>
    <row customHeight="1" ht="0.75">
      <c r="A54" s="1173" t="s">
        <v>1044</v>
      </c>
      <c r="B54" s="1173"/>
      <c r="C54" s="1173"/>
      <c r="D54" s="1167"/>
      <c r="E54" s="1177"/>
      <c r="F54" s="2556"/>
      <c r="G54" s="2535"/>
      <c r="H54" s="2560"/>
      <c r="I54" s="2561"/>
      <c r="J54" s="2562"/>
      <c r="K54" s="2562"/>
      <c r="L54" s="2554"/>
      <c r="M54" s="2288"/>
      <c r="N54" s="2563"/>
      <c r="O54" s="2564"/>
      <c r="P54" s="2610"/>
      <c r="Q54" s="2559"/>
      <c r="R54" s="2559"/>
      <c r="S54" s="2559"/>
      <c r="T54" s="2559"/>
      <c r="U54" s="2559"/>
      <c r="V54" s="2559"/>
      <c r="W54" s="2559"/>
      <c r="X54" s="2559"/>
      <c r="Y54" s="2559"/>
      <c r="Z54" s="2041"/>
      <c r="AA54" s="2042"/>
      <c r="AB54" s="2049"/>
      <c r="AC54" s="2043"/>
      <c r="AD54" s="2043"/>
      <c r="AE54" s="2050"/>
      <c r="AF54" s="2558"/>
      <c r="AG54" s="2554"/>
      <c r="AH54" s="2554"/>
      <c r="AI54" s="2558"/>
      <c r="AJ54" s="2554"/>
      <c r="AK54" s="2554"/>
      <c r="AL54" s="1992"/>
      <c r="AM54" s="1829"/>
      <c r="AN54" s="1829"/>
      <c r="AO54" s="1829"/>
      <c r="AP54" s="1829"/>
      <c r="AQ54" s="1829"/>
      <c r="AR54" s="1829"/>
      <c r="AS54" s="1829"/>
      <c r="AT54" s="1829"/>
      <c r="AU54" s="1829"/>
      <c r="AV54" s="1829"/>
      <c r="AW54" s="1829"/>
      <c r="AX54" s="1829"/>
      <c r="AY54" s="1829"/>
      <c r="AZ54" s="1829"/>
      <c r="BA54" s="1829"/>
      <c r="BB54" s="1829"/>
      <c r="BC54" s="1829"/>
      <c r="BD54" s="1829"/>
      <c r="BE54" s="1829"/>
      <c r="BF54" s="1829"/>
      <c r="BG54" s="1642"/>
    </row>
    <row customHeight="1" ht="0.75">
      <c r="A55" s="1173" t="s">
        <v>1044</v>
      </c>
      <c r="B55" s="1173"/>
      <c r="C55" s="1173"/>
      <c r="D55" s="1167"/>
      <c r="E55" s="1177"/>
      <c r="F55" s="2556"/>
      <c r="G55" s="2535"/>
      <c r="H55" s="2560"/>
      <c r="I55" s="2561"/>
      <c r="J55" s="2562"/>
      <c r="K55" s="2562"/>
      <c r="L55" s="2554"/>
      <c r="M55" s="2288"/>
      <c r="N55" s="2042"/>
      <c r="O55" s="2042"/>
      <c r="P55" s="2049"/>
      <c r="Q55" s="2042"/>
      <c r="R55" s="2042"/>
      <c r="S55" s="2042"/>
      <c r="T55" s="2042"/>
      <c r="U55" s="2042"/>
      <c r="V55" s="2042"/>
      <c r="W55" s="2042"/>
      <c r="X55" s="2042"/>
      <c r="Y55" s="2042"/>
      <c r="Z55" s="2042"/>
      <c r="AA55" s="2042"/>
      <c r="AB55" s="2042"/>
      <c r="AC55" s="2042"/>
      <c r="AD55" s="2042"/>
      <c r="AE55" s="2051"/>
      <c r="AF55" s="2558"/>
      <c r="AG55" s="2554"/>
      <c r="AH55" s="2554"/>
      <c r="AI55" s="2558"/>
      <c r="AJ55" s="2554"/>
      <c r="AK55" s="2554"/>
      <c r="AL55" s="1992"/>
      <c r="AM55" s="1829"/>
      <c r="AN55" s="1829"/>
      <c r="AO55" s="1829"/>
      <c r="AP55" s="1829"/>
      <c r="AQ55" s="1829"/>
      <c r="AR55" s="1829"/>
      <c r="AS55" s="1829"/>
      <c r="AT55" s="1829"/>
      <c r="AU55" s="1829"/>
      <c r="AV55" s="1829"/>
      <c r="AW55" s="1829"/>
      <c r="AX55" s="1829"/>
      <c r="AY55" s="1829"/>
      <c r="AZ55" s="1829"/>
      <c r="BA55" s="1829"/>
      <c r="BB55" s="1829"/>
      <c r="BC55" s="1829"/>
      <c r="BD55" s="1829"/>
      <c r="BE55" s="1829"/>
      <c r="BF55" s="1829"/>
      <c r="BG55" s="1642"/>
    </row>
    <row customHeight="1" ht="11.25">
      <c r="A56" s="1173" t="s">
        <v>1044</v>
      </c>
      <c r="B56" s="1173"/>
      <c r="C56" s="1173"/>
      <c r="D56" s="1167"/>
      <c r="E56" s="1177"/>
      <c r="F56" s="1835"/>
      <c r="G56" s="690" t="s">
        <v>576</v>
      </c>
      <c r="H56" s="2535" t="s">
        <v>109</v>
      </c>
      <c r="I56" s="2536"/>
      <c r="J56" s="2505"/>
      <c r="K56" s="2537" t="s">
        <v>1103</v>
      </c>
      <c r="L56" s="2127" t="s">
        <v>19</v>
      </c>
      <c r="M56" s="2128"/>
      <c r="N56" s="1990"/>
      <c r="O56" s="1184" t="s">
        <v>375</v>
      </c>
      <c r="P56" s="1185"/>
      <c r="Q56" s="1185"/>
      <c r="R56" s="1185"/>
      <c r="S56" s="1185"/>
      <c r="T56" s="1185"/>
      <c r="U56" s="1185"/>
      <c r="V56" s="1185"/>
      <c r="W56" s="1185"/>
      <c r="X56" s="1185"/>
      <c r="Y56" s="1185"/>
      <c r="Z56" s="1185"/>
      <c r="AA56" s="1185"/>
      <c r="AB56" s="1185"/>
      <c r="AC56" s="1185"/>
      <c r="AD56" s="1185"/>
      <c r="AE56" s="1185"/>
      <c r="AF56" s="2526">
        <v>2024</v>
      </c>
      <c r="AG56" s="2527" t="s">
        <v>1077</v>
      </c>
      <c r="AH56" s="2527" t="s">
        <v>1078</v>
      </c>
      <c r="AI56" s="2668"/>
      <c r="AJ56" s="2527" t="s">
        <v>1079</v>
      </c>
      <c r="AK56" s="2527" t="s">
        <v>1079</v>
      </c>
      <c r="AL56" s="1992"/>
      <c r="AM56" s="1829"/>
      <c r="AN56" s="1829"/>
      <c r="AO56" s="1829"/>
      <c r="AP56" s="1829"/>
      <c r="AQ56" s="1829"/>
      <c r="AR56" s="1829"/>
      <c r="AS56" s="1829"/>
      <c r="AT56" s="1829"/>
      <c r="AU56" s="1829"/>
      <c r="AV56" s="1829"/>
      <c r="AW56" s="1829"/>
      <c r="AX56" s="1829"/>
      <c r="AY56" s="1829"/>
      <c r="AZ56" s="1829"/>
      <c r="BA56" s="1829"/>
      <c r="BB56" s="1829"/>
      <c r="BC56" s="1829"/>
      <c r="BD56" s="1829"/>
      <c r="BE56" s="1829"/>
      <c r="BF56" s="1829"/>
      <c r="BG56" s="1642"/>
    </row>
    <row customHeight="1" ht="11.25">
      <c r="A57" s="1173" t="s">
        <v>1044</v>
      </c>
      <c r="B57" s="1173"/>
      <c r="C57" s="1173"/>
      <c r="D57" s="1167"/>
      <c r="E57" s="1177"/>
      <c r="F57" s="1835"/>
      <c r="G57" s="1836"/>
      <c r="H57" s="2535" t="s">
        <v>375</v>
      </c>
      <c r="I57" s="2536"/>
      <c r="J57" s="2505"/>
      <c r="K57" s="2537"/>
      <c r="L57" s="2127"/>
      <c r="M57" s="2128"/>
      <c r="N57" s="2528"/>
      <c r="O57" s="2529">
        <v>1</v>
      </c>
      <c r="P57" s="2530" t="s">
        <v>61</v>
      </c>
      <c r="Q57" s="2665" t="s">
        <v>1080</v>
      </c>
      <c r="R57" s="2666" t="s">
        <v>1081</v>
      </c>
      <c r="S57" s="2666" t="s">
        <v>99</v>
      </c>
      <c r="T57" s="2666" t="s">
        <v>100</v>
      </c>
      <c r="U57" s="2666" t="s">
        <v>101</v>
      </c>
      <c r="V57" s="2666" t="s">
        <v>1082</v>
      </c>
      <c r="W57" s="2666" t="s">
        <v>1083</v>
      </c>
      <c r="X57" s="2666" t="s">
        <v>1082</v>
      </c>
      <c r="Y57" s="2666" t="s">
        <v>1084</v>
      </c>
      <c r="Z57" s="1182"/>
      <c r="AA57" s="1183"/>
      <c r="AB57" s="1183"/>
      <c r="AC57" s="1187"/>
      <c r="AD57" s="1187"/>
      <c r="AE57" s="1188"/>
      <c r="AF57" s="2526"/>
      <c r="AG57" s="2527"/>
      <c r="AH57" s="2527"/>
      <c r="AI57" s="2668"/>
      <c r="AJ57" s="2527"/>
      <c r="AK57" s="2527"/>
      <c r="AL57" s="1992"/>
      <c r="AM57" s="1829"/>
      <c r="AN57" s="1829"/>
      <c r="AO57" s="1829"/>
      <c r="AP57" s="1829"/>
      <c r="AQ57" s="1829"/>
      <c r="AR57" s="1829"/>
      <c r="AS57" s="1829"/>
      <c r="AT57" s="1829"/>
      <c r="AU57" s="1829"/>
      <c r="AV57" s="1829"/>
      <c r="AW57" s="1829"/>
      <c r="AX57" s="1829"/>
      <c r="AY57" s="1829"/>
      <c r="AZ57" s="1829"/>
      <c r="BA57" s="1829"/>
      <c r="BB57" s="1829"/>
      <c r="BC57" s="1829"/>
      <c r="BD57" s="1829"/>
      <c r="BE57" s="1829"/>
      <c r="BF57" s="1829"/>
      <c r="BG57" s="1642"/>
    </row>
    <row customHeight="1" ht="11.25">
      <c r="A58" s="1173" t="s">
        <v>1044</v>
      </c>
      <c r="B58" s="1173"/>
      <c r="C58" s="1173"/>
      <c r="D58" s="1167"/>
      <c r="E58" s="1177"/>
      <c r="F58" s="1835"/>
      <c r="G58" s="1836"/>
      <c r="H58" s="2535" t="s">
        <v>375</v>
      </c>
      <c r="I58" s="2536"/>
      <c r="J58" s="2505"/>
      <c r="K58" s="2537"/>
      <c r="L58" s="2127"/>
      <c r="M58" s="2128"/>
      <c r="N58" s="2528"/>
      <c r="O58" s="2529"/>
      <c r="P58" s="2531"/>
      <c r="Q58" s="2665"/>
      <c r="R58" s="2533"/>
      <c r="S58" s="2534"/>
      <c r="T58" s="2533"/>
      <c r="U58" s="2533"/>
      <c r="V58" s="2533"/>
      <c r="W58" s="2533"/>
      <c r="X58" s="2533"/>
      <c r="Y58" s="2533"/>
      <c r="Z58" s="1834"/>
      <c r="AA58" s="1800">
        <v>1</v>
      </c>
      <c r="AB58" s="1186" t="s">
        <v>1085</v>
      </c>
      <c r="AC58" s="1176">
        <v>0</v>
      </c>
      <c r="AD58" s="1186" t="str">
        <f>AB58</f>
        <v>  Федеральный бюджет</v>
      </c>
      <c r="AE58" s="1176">
        <v>0</v>
      </c>
      <c r="AF58" s="2526"/>
      <c r="AG58" s="2527"/>
      <c r="AH58" s="2527"/>
      <c r="AI58" s="2668"/>
      <c r="AJ58" s="2527"/>
      <c r="AK58" s="2527"/>
      <c r="AL58" s="1992"/>
      <c r="AM58" s="1829"/>
      <c r="AN58" s="1829"/>
      <c r="AO58" s="1829"/>
      <c r="AP58" s="1829"/>
      <c r="AQ58" s="1829"/>
      <c r="AR58" s="1829"/>
      <c r="AS58" s="1829"/>
      <c r="AT58" s="1829"/>
      <c r="AU58" s="1829"/>
      <c r="AV58" s="1829"/>
      <c r="AW58" s="1829"/>
      <c r="AX58" s="1829"/>
      <c r="AY58" s="1829"/>
      <c r="AZ58" s="1829"/>
      <c r="BA58" s="1829"/>
      <c r="BB58" s="1829"/>
      <c r="BC58" s="1829"/>
      <c r="BD58" s="1829"/>
      <c r="BE58" s="1829"/>
      <c r="BF58" s="1829"/>
      <c r="BG58" s="1642"/>
    </row>
    <row customHeight="1" ht="11.25">
      <c r="A59" s="1173" t="s">
        <v>1044</v>
      </c>
      <c r="B59" s="1173"/>
      <c r="C59" s="1173"/>
      <c r="D59" s="1167"/>
      <c r="E59" s="1177"/>
      <c r="F59" s="1836"/>
      <c r="G59" s="1836"/>
      <c r="H59" s="1836"/>
      <c r="I59" s="1836"/>
      <c r="J59" s="1836"/>
      <c r="K59" s="1836"/>
      <c r="L59" s="1836"/>
      <c r="M59" s="1836"/>
      <c r="N59" s="1836"/>
      <c r="O59" s="1836"/>
      <c r="P59" s="1836"/>
      <c r="Q59" s="1836"/>
      <c r="R59" s="1836"/>
      <c r="S59" s="1836"/>
      <c r="T59" s="1836"/>
      <c r="U59" s="1836"/>
      <c r="V59" s="1836"/>
      <c r="W59" s="1836"/>
      <c r="X59" s="1836"/>
      <c r="Y59" s="1836"/>
      <c r="Z59" s="690" t="s">
        <v>576</v>
      </c>
      <c r="AA59" s="1820" t="s">
        <v>110</v>
      </c>
      <c r="AB59" s="1186" t="s">
        <v>1086</v>
      </c>
      <c r="AC59" s="1176">
        <v>0</v>
      </c>
      <c r="AD59" s="1186" t="str">
        <f>AB59</f>
        <v>  Бюджет субъекта РФ</v>
      </c>
      <c r="AE59" s="1176">
        <v>0</v>
      </c>
      <c r="AF59" s="2093"/>
      <c r="AG59" s="1765"/>
      <c r="AH59" s="1765"/>
      <c r="AI59" s="2669"/>
      <c r="AJ59" s="1765"/>
      <c r="AK59" s="1991"/>
      <c r="AL59" s="1992"/>
      <c r="AM59" s="1829"/>
      <c r="AN59" s="1829"/>
      <c r="AO59" s="1829"/>
      <c r="AP59" s="1829"/>
      <c r="AQ59" s="1829"/>
      <c r="AR59" s="1829"/>
      <c r="AS59" s="1829"/>
      <c r="AT59" s="1829"/>
      <c r="AU59" s="1829"/>
      <c r="AV59" s="1829"/>
      <c r="AW59" s="1829"/>
      <c r="AX59" s="1829"/>
      <c r="AY59" s="1829"/>
      <c r="AZ59" s="1829"/>
      <c r="BA59" s="1829"/>
      <c r="BB59" s="1829"/>
      <c r="BC59" s="1829"/>
      <c r="BD59" s="1829"/>
      <c r="BE59" s="1829"/>
      <c r="BF59" s="1829"/>
      <c r="BG59" s="1642"/>
    </row>
    <row customHeight="1" ht="11.25">
      <c r="A60" s="1173" t="s">
        <v>1044</v>
      </c>
      <c r="B60" s="1173"/>
      <c r="C60" s="1173"/>
      <c r="D60" s="1167"/>
      <c r="E60" s="1177"/>
      <c r="F60" s="1836"/>
      <c r="G60" s="1836"/>
      <c r="H60" s="1836"/>
      <c r="I60" s="1836"/>
      <c r="J60" s="1836"/>
      <c r="K60" s="1836"/>
      <c r="L60" s="1836"/>
      <c r="M60" s="1836"/>
      <c r="N60" s="1836"/>
      <c r="O60" s="1836"/>
      <c r="P60" s="1836"/>
      <c r="Q60" s="1836"/>
      <c r="R60" s="1836"/>
      <c r="S60" s="1836"/>
      <c r="T60" s="1836"/>
      <c r="U60" s="1836"/>
      <c r="V60" s="1836"/>
      <c r="W60" s="1836"/>
      <c r="X60" s="1836"/>
      <c r="Y60" s="1836"/>
      <c r="Z60" s="690" t="s">
        <v>576</v>
      </c>
      <c r="AA60" s="1820" t="s">
        <v>89</v>
      </c>
      <c r="AB60" s="1186" t="s">
        <v>1087</v>
      </c>
      <c r="AC60" s="1176">
        <v>0</v>
      </c>
      <c r="AD60" s="1186" t="str">
        <f>AB60</f>
        <v>  Бюджет муниципального образования</v>
      </c>
      <c r="AE60" s="1176">
        <v>0</v>
      </c>
      <c r="AF60" s="2093"/>
      <c r="AG60" s="1765"/>
      <c r="AH60" s="1765"/>
      <c r="AI60" s="2669"/>
      <c r="AJ60" s="1765"/>
      <c r="AK60" s="1991"/>
      <c r="AL60" s="1992"/>
      <c r="AM60" s="1829"/>
      <c r="AN60" s="1829"/>
      <c r="AO60" s="1829"/>
      <c r="AP60" s="1829"/>
      <c r="AQ60" s="1829"/>
      <c r="AR60" s="1829"/>
      <c r="AS60" s="1829"/>
      <c r="AT60" s="1829"/>
      <c r="AU60" s="1829"/>
      <c r="AV60" s="1829"/>
      <c r="AW60" s="1829"/>
      <c r="AX60" s="1829"/>
      <c r="AY60" s="1829"/>
      <c r="AZ60" s="1829"/>
      <c r="BA60" s="1829"/>
      <c r="BB60" s="1829"/>
      <c r="BC60" s="1829"/>
      <c r="BD60" s="1829"/>
      <c r="BE60" s="1829"/>
      <c r="BF60" s="1829"/>
      <c r="BG60" s="1642"/>
    </row>
    <row customHeight="1" ht="11.25">
      <c r="A61" s="1173" t="s">
        <v>1044</v>
      </c>
      <c r="B61" s="1173"/>
      <c r="C61" s="1173"/>
      <c r="D61" s="1167"/>
      <c r="E61" s="1177"/>
      <c r="F61" s="1835"/>
      <c r="G61" s="1836"/>
      <c r="H61" s="2535" t="s">
        <v>375</v>
      </c>
      <c r="I61" s="2536"/>
      <c r="J61" s="2505"/>
      <c r="K61" s="2537"/>
      <c r="L61" s="2127"/>
      <c r="M61" s="2128"/>
      <c r="N61" s="2528"/>
      <c r="O61" s="2529"/>
      <c r="P61" s="2532"/>
      <c r="Q61" s="2665"/>
      <c r="R61" s="2533"/>
      <c r="S61" s="2534"/>
      <c r="T61" s="2533"/>
      <c r="U61" s="2533"/>
      <c r="V61" s="2533"/>
      <c r="W61" s="2533"/>
      <c r="X61" s="2533"/>
      <c r="Y61" s="2533"/>
      <c r="Z61" s="1182"/>
      <c r="AA61" s="1183"/>
      <c r="AB61" s="1248" t="s">
        <v>1088</v>
      </c>
      <c r="AC61" s="1187"/>
      <c r="AD61" s="1187"/>
      <c r="AE61" s="1189"/>
      <c r="AF61" s="2526"/>
      <c r="AG61" s="2527"/>
      <c r="AH61" s="2527"/>
      <c r="AI61" s="2668"/>
      <c r="AJ61" s="2527"/>
      <c r="AK61" s="2527"/>
      <c r="AL61" s="1992"/>
      <c r="AM61" s="1829"/>
      <c r="AN61" s="1829"/>
      <c r="AO61" s="1829"/>
      <c r="AP61" s="1829"/>
      <c r="AQ61" s="1829"/>
      <c r="AR61" s="1829"/>
      <c r="AS61" s="1829"/>
      <c r="AT61" s="1829"/>
      <c r="AU61" s="1829"/>
      <c r="AV61" s="1829"/>
      <c r="AW61" s="1829"/>
      <c r="AX61" s="1829"/>
      <c r="AY61" s="1829"/>
      <c r="AZ61" s="1829"/>
      <c r="BA61" s="1829"/>
      <c r="BB61" s="1829"/>
      <c r="BC61" s="1829"/>
      <c r="BD61" s="1829"/>
      <c r="BE61" s="1829"/>
      <c r="BF61" s="1829"/>
      <c r="BG61" s="1642"/>
    </row>
    <row customHeight="1" ht="11.25">
      <c r="A62" s="1173" t="s">
        <v>1044</v>
      </c>
      <c r="B62" s="1173"/>
      <c r="C62" s="1173"/>
      <c r="D62" s="1167"/>
      <c r="E62" s="1177"/>
      <c r="F62" s="1835"/>
      <c r="G62" s="1836"/>
      <c r="H62" s="2535" t="s">
        <v>375</v>
      </c>
      <c r="I62" s="2536"/>
      <c r="J62" s="2505"/>
      <c r="K62" s="2537"/>
      <c r="L62" s="2127"/>
      <c r="M62" s="2128"/>
      <c r="N62" s="1182"/>
      <c r="O62" s="1183"/>
      <c r="P62" s="1175" t="s">
        <v>1089</v>
      </c>
      <c r="Q62" s="1183"/>
      <c r="R62" s="1183"/>
      <c r="S62" s="1183"/>
      <c r="T62" s="1183"/>
      <c r="U62" s="1183"/>
      <c r="V62" s="1183"/>
      <c r="W62" s="1183"/>
      <c r="X62" s="1183"/>
      <c r="Y62" s="1183"/>
      <c r="Z62" s="1183"/>
      <c r="AA62" s="1183"/>
      <c r="AB62" s="1183"/>
      <c r="AC62" s="1183"/>
      <c r="AD62" s="1183"/>
      <c r="AE62" s="1190"/>
      <c r="AF62" s="2526"/>
      <c r="AG62" s="2527"/>
      <c r="AH62" s="2527"/>
      <c r="AI62" s="2668"/>
      <c r="AJ62" s="2527"/>
      <c r="AK62" s="2527"/>
      <c r="AL62" s="1992"/>
      <c r="AM62" s="1829"/>
      <c r="AN62" s="1829"/>
      <c r="AO62" s="1829"/>
      <c r="AP62" s="1829"/>
      <c r="AQ62" s="1829"/>
      <c r="AR62" s="1829"/>
      <c r="AS62" s="1829"/>
      <c r="AT62" s="1829"/>
      <c r="AU62" s="1829"/>
      <c r="AV62" s="1829"/>
      <c r="AW62" s="1829"/>
      <c r="AX62" s="1829"/>
      <c r="AY62" s="1829"/>
      <c r="AZ62" s="1829"/>
      <c r="BA62" s="1829"/>
      <c r="BB62" s="1829"/>
      <c r="BC62" s="1829"/>
      <c r="BD62" s="1829"/>
      <c r="BE62" s="1829"/>
      <c r="BF62" s="1829"/>
      <c r="BG62" s="1642"/>
    </row>
    <row customHeight="1" ht="11.25">
      <c r="A63" s="1173" t="s">
        <v>1044</v>
      </c>
      <c r="B63" s="1173"/>
      <c r="C63" s="1173"/>
      <c r="D63" s="1167"/>
      <c r="E63" s="1177"/>
      <c r="F63" s="1835"/>
      <c r="G63" s="690" t="s">
        <v>576</v>
      </c>
      <c r="H63" s="2535" t="s">
        <v>110</v>
      </c>
      <c r="I63" s="2536"/>
      <c r="J63" s="2505"/>
      <c r="K63" s="2537" t="s">
        <v>1104</v>
      </c>
      <c r="L63" s="2127" t="s">
        <v>19</v>
      </c>
      <c r="M63" s="2128"/>
      <c r="N63" s="1990"/>
      <c r="O63" s="1184" t="s">
        <v>375</v>
      </c>
      <c r="P63" s="1185"/>
      <c r="Q63" s="1185"/>
      <c r="R63" s="1185"/>
      <c r="S63" s="1185"/>
      <c r="T63" s="1185"/>
      <c r="U63" s="1185"/>
      <c r="V63" s="1185"/>
      <c r="W63" s="1185"/>
      <c r="X63" s="1185"/>
      <c r="Y63" s="1185"/>
      <c r="Z63" s="1185"/>
      <c r="AA63" s="1185"/>
      <c r="AB63" s="1185"/>
      <c r="AC63" s="1185"/>
      <c r="AD63" s="1185"/>
      <c r="AE63" s="1185"/>
      <c r="AF63" s="2526">
        <v>2026</v>
      </c>
      <c r="AG63" s="2527" t="s">
        <v>1077</v>
      </c>
      <c r="AH63" s="2527" t="s">
        <v>1091</v>
      </c>
      <c r="AI63" s="2668"/>
      <c r="AJ63" s="2527" t="s">
        <v>1092</v>
      </c>
      <c r="AK63" s="2527" t="s">
        <v>1092</v>
      </c>
      <c r="AL63" s="1992"/>
      <c r="AM63" s="1829"/>
      <c r="AN63" s="1829"/>
      <c r="AO63" s="1829"/>
      <c r="AP63" s="1829"/>
      <c r="AQ63" s="1829"/>
      <c r="AR63" s="1829"/>
      <c r="AS63" s="1829"/>
      <c r="AT63" s="1829"/>
      <c r="AU63" s="1829"/>
      <c r="AV63" s="1829"/>
      <c r="AW63" s="1829"/>
      <c r="AX63" s="1829"/>
      <c r="AY63" s="1829"/>
      <c r="AZ63" s="1829"/>
      <c r="BA63" s="1829"/>
      <c r="BB63" s="1829"/>
      <c r="BC63" s="1829"/>
      <c r="BD63" s="1829"/>
      <c r="BE63" s="1829"/>
      <c r="BF63" s="1829"/>
      <c r="BG63" s="1642"/>
    </row>
    <row customHeight="1" ht="11.25">
      <c r="A64" s="1173" t="s">
        <v>1044</v>
      </c>
      <c r="B64" s="1173"/>
      <c r="C64" s="1173"/>
      <c r="D64" s="1167"/>
      <c r="E64" s="1177"/>
      <c r="F64" s="1835"/>
      <c r="G64" s="1836"/>
      <c r="H64" s="2535" t="s">
        <v>109</v>
      </c>
      <c r="I64" s="2536"/>
      <c r="J64" s="2505"/>
      <c r="K64" s="2537"/>
      <c r="L64" s="2127"/>
      <c r="M64" s="2128"/>
      <c r="N64" s="2528"/>
      <c r="O64" s="2529">
        <v>1</v>
      </c>
      <c r="P64" s="2530" t="s">
        <v>61</v>
      </c>
      <c r="Q64" s="2665" t="s">
        <v>1093</v>
      </c>
      <c r="R64" s="2666" t="s">
        <v>1081</v>
      </c>
      <c r="S64" s="2666" t="s">
        <v>99</v>
      </c>
      <c r="T64" s="2666" t="s">
        <v>100</v>
      </c>
      <c r="U64" s="2666" t="s">
        <v>101</v>
      </c>
      <c r="V64" s="2666" t="s">
        <v>1082</v>
      </c>
      <c r="W64" s="2666" t="s">
        <v>1083</v>
      </c>
      <c r="X64" s="2666" t="s">
        <v>1082</v>
      </c>
      <c r="Y64" s="2666" t="s">
        <v>1084</v>
      </c>
      <c r="Z64" s="1182"/>
      <c r="AA64" s="1183"/>
      <c r="AB64" s="1183"/>
      <c r="AC64" s="1187"/>
      <c r="AD64" s="1187"/>
      <c r="AE64" s="1188"/>
      <c r="AF64" s="2526"/>
      <c r="AG64" s="2527"/>
      <c r="AH64" s="2527"/>
      <c r="AI64" s="2668"/>
      <c r="AJ64" s="2527"/>
      <c r="AK64" s="2527"/>
      <c r="AL64" s="1992"/>
      <c r="AM64" s="1829"/>
      <c r="AN64" s="1829"/>
      <c r="AO64" s="1829"/>
      <c r="AP64" s="1829"/>
      <c r="AQ64" s="1829"/>
      <c r="AR64" s="1829"/>
      <c r="AS64" s="1829"/>
      <c r="AT64" s="1829"/>
      <c r="AU64" s="1829"/>
      <c r="AV64" s="1829"/>
      <c r="AW64" s="1829"/>
      <c r="AX64" s="1829"/>
      <c r="AY64" s="1829"/>
      <c r="AZ64" s="1829"/>
      <c r="BA64" s="1829"/>
      <c r="BB64" s="1829"/>
      <c r="BC64" s="1829"/>
      <c r="BD64" s="1829"/>
      <c r="BE64" s="1829"/>
      <c r="BF64" s="1829"/>
      <c r="BG64" s="1642"/>
    </row>
    <row customHeight="1" ht="11.25">
      <c r="A65" s="1173" t="s">
        <v>1044</v>
      </c>
      <c r="B65" s="1173"/>
      <c r="C65" s="1173"/>
      <c r="D65" s="1167"/>
      <c r="E65" s="1177"/>
      <c r="F65" s="1835"/>
      <c r="G65" s="1836"/>
      <c r="H65" s="2535" t="s">
        <v>109</v>
      </c>
      <c r="I65" s="2536"/>
      <c r="J65" s="2505"/>
      <c r="K65" s="2537"/>
      <c r="L65" s="2127"/>
      <c r="M65" s="2128"/>
      <c r="N65" s="2528"/>
      <c r="O65" s="2529"/>
      <c r="P65" s="2531"/>
      <c r="Q65" s="2665"/>
      <c r="R65" s="2533"/>
      <c r="S65" s="2534"/>
      <c r="T65" s="2533"/>
      <c r="U65" s="2533"/>
      <c r="V65" s="2533"/>
      <c r="W65" s="2533"/>
      <c r="X65" s="2533"/>
      <c r="Y65" s="2533"/>
      <c r="Z65" s="1834"/>
      <c r="AA65" s="1800">
        <v>1</v>
      </c>
      <c r="AB65" s="1186" t="s">
        <v>1094</v>
      </c>
      <c r="AC65" s="1176">
        <v>0</v>
      </c>
      <c r="AD65" s="1186" t="str">
        <f>AB65</f>
        <v>  Прочие собственные средства</v>
      </c>
      <c r="AE65" s="1176">
        <v>0</v>
      </c>
      <c r="AF65" s="2526"/>
      <c r="AG65" s="2527"/>
      <c r="AH65" s="2527"/>
      <c r="AI65" s="2668"/>
      <c r="AJ65" s="2527"/>
      <c r="AK65" s="2527"/>
      <c r="AL65" s="1992"/>
      <c r="AM65" s="1829"/>
      <c r="AN65" s="1829"/>
      <c r="AO65" s="1829"/>
      <c r="AP65" s="1829"/>
      <c r="AQ65" s="1829"/>
      <c r="AR65" s="1829"/>
      <c r="AS65" s="1829"/>
      <c r="AT65" s="1829"/>
      <c r="AU65" s="1829"/>
      <c r="AV65" s="1829"/>
      <c r="AW65" s="1829"/>
      <c r="AX65" s="1829"/>
      <c r="AY65" s="1829"/>
      <c r="AZ65" s="1829"/>
      <c r="BA65" s="1829"/>
      <c r="BB65" s="1829"/>
      <c r="BC65" s="1829"/>
      <c r="BD65" s="1829"/>
      <c r="BE65" s="1829"/>
      <c r="BF65" s="1829"/>
      <c r="BG65" s="1642"/>
    </row>
    <row customHeight="1" ht="11.25">
      <c r="A66" s="1173" t="s">
        <v>1044</v>
      </c>
      <c r="B66" s="1173"/>
      <c r="C66" s="1173"/>
      <c r="D66" s="1167"/>
      <c r="E66" s="1177"/>
      <c r="F66" s="1836"/>
      <c r="G66" s="1836"/>
      <c r="H66" s="1836"/>
      <c r="I66" s="1836"/>
      <c r="J66" s="1836"/>
      <c r="K66" s="1836"/>
      <c r="L66" s="1836"/>
      <c r="M66" s="1836"/>
      <c r="N66" s="1836"/>
      <c r="O66" s="1836"/>
      <c r="P66" s="1836"/>
      <c r="Q66" s="1836"/>
      <c r="R66" s="1836"/>
      <c r="S66" s="1836"/>
      <c r="T66" s="1836"/>
      <c r="U66" s="1836"/>
      <c r="V66" s="1836"/>
      <c r="W66" s="1836"/>
      <c r="X66" s="1836"/>
      <c r="Y66" s="1836"/>
      <c r="Z66" s="690" t="s">
        <v>576</v>
      </c>
      <c r="AA66" s="1820" t="s">
        <v>110</v>
      </c>
      <c r="AB66" s="1186" t="s">
        <v>1095</v>
      </c>
      <c r="AC66" s="1176">
        <v>1275.8</v>
      </c>
      <c r="AD66" s="1186" t="str">
        <f>AB66</f>
        <v>     Прочие амортизационные отчисления</v>
      </c>
      <c r="AE66" s="1176">
        <v>0</v>
      </c>
      <c r="AF66" s="2093"/>
      <c r="AG66" s="1765"/>
      <c r="AH66" s="1765"/>
      <c r="AI66" s="2669"/>
      <c r="AJ66" s="1765"/>
      <c r="AK66" s="1991"/>
      <c r="AL66" s="1992"/>
      <c r="AM66" s="1829"/>
      <c r="AN66" s="1829"/>
      <c r="AO66" s="1829"/>
      <c r="AP66" s="1829"/>
      <c r="AQ66" s="1829"/>
      <c r="AR66" s="1829"/>
      <c r="AS66" s="1829"/>
      <c r="AT66" s="1829"/>
      <c r="AU66" s="1829"/>
      <c r="AV66" s="1829"/>
      <c r="AW66" s="1829"/>
      <c r="AX66" s="1829"/>
      <c r="AY66" s="1829"/>
      <c r="AZ66" s="1829"/>
      <c r="BA66" s="1829"/>
      <c r="BB66" s="1829"/>
      <c r="BC66" s="1829"/>
      <c r="BD66" s="1829"/>
      <c r="BE66" s="1829"/>
      <c r="BF66" s="1829"/>
      <c r="BG66" s="1642"/>
    </row>
    <row customHeight="1" ht="11.25">
      <c r="A67" s="1173" t="s">
        <v>1044</v>
      </c>
      <c r="B67" s="1173"/>
      <c r="C67" s="1173"/>
      <c r="D67" s="1167"/>
      <c r="E67" s="1177"/>
      <c r="F67" s="1835"/>
      <c r="G67" s="1836"/>
      <c r="H67" s="2535" t="s">
        <v>109</v>
      </c>
      <c r="I67" s="2536"/>
      <c r="J67" s="2505"/>
      <c r="K67" s="2537"/>
      <c r="L67" s="2127"/>
      <c r="M67" s="2128"/>
      <c r="N67" s="2528"/>
      <c r="O67" s="2529"/>
      <c r="P67" s="2532"/>
      <c r="Q67" s="2665"/>
      <c r="R67" s="2533"/>
      <c r="S67" s="2534"/>
      <c r="T67" s="2533"/>
      <c r="U67" s="2533"/>
      <c r="V67" s="2533"/>
      <c r="W67" s="2533"/>
      <c r="X67" s="2533"/>
      <c r="Y67" s="2533"/>
      <c r="Z67" s="1182"/>
      <c r="AA67" s="1183"/>
      <c r="AB67" s="1248" t="s">
        <v>1088</v>
      </c>
      <c r="AC67" s="1187"/>
      <c r="AD67" s="1187"/>
      <c r="AE67" s="1189"/>
      <c r="AF67" s="2526"/>
      <c r="AG67" s="2527"/>
      <c r="AH67" s="2527"/>
      <c r="AI67" s="2668"/>
      <c r="AJ67" s="2527"/>
      <c r="AK67" s="2527"/>
      <c r="AL67" s="1992"/>
      <c r="AM67" s="1829"/>
      <c r="AN67" s="1829"/>
      <c r="AO67" s="1829"/>
      <c r="AP67" s="1829"/>
      <c r="AQ67" s="1829"/>
      <c r="AR67" s="1829"/>
      <c r="AS67" s="1829"/>
      <c r="AT67" s="1829"/>
      <c r="AU67" s="1829"/>
      <c r="AV67" s="1829"/>
      <c r="AW67" s="1829"/>
      <c r="AX67" s="1829"/>
      <c r="AY67" s="1829"/>
      <c r="AZ67" s="1829"/>
      <c r="BA67" s="1829"/>
      <c r="BB67" s="1829"/>
      <c r="BC67" s="1829"/>
      <c r="BD67" s="1829"/>
      <c r="BE67" s="1829"/>
      <c r="BF67" s="1829"/>
      <c r="BG67" s="1642"/>
    </row>
    <row customHeight="1" ht="11.25">
      <c r="A68" s="1173" t="s">
        <v>1044</v>
      </c>
      <c r="B68" s="1173"/>
      <c r="C68" s="1173"/>
      <c r="D68" s="1167"/>
      <c r="E68" s="1177"/>
      <c r="F68" s="1835"/>
      <c r="G68" s="1836"/>
      <c r="H68" s="2535" t="s">
        <v>109</v>
      </c>
      <c r="I68" s="2536"/>
      <c r="J68" s="2505"/>
      <c r="K68" s="2537"/>
      <c r="L68" s="2127"/>
      <c r="M68" s="2128"/>
      <c r="N68" s="1182"/>
      <c r="O68" s="1183"/>
      <c r="P68" s="1175" t="s">
        <v>1089</v>
      </c>
      <c r="Q68" s="1183"/>
      <c r="R68" s="1183"/>
      <c r="S68" s="1183"/>
      <c r="T68" s="1183"/>
      <c r="U68" s="1183"/>
      <c r="V68" s="1183"/>
      <c r="W68" s="1183"/>
      <c r="X68" s="1183"/>
      <c r="Y68" s="1183"/>
      <c r="Z68" s="1183"/>
      <c r="AA68" s="1183"/>
      <c r="AB68" s="1183"/>
      <c r="AC68" s="1183"/>
      <c r="AD68" s="1183"/>
      <c r="AE68" s="1190"/>
      <c r="AF68" s="2526"/>
      <c r="AG68" s="2527"/>
      <c r="AH68" s="2527"/>
      <c r="AI68" s="2668"/>
      <c r="AJ68" s="2527"/>
      <c r="AK68" s="2527"/>
      <c r="AL68" s="1992"/>
      <c r="AM68" s="1829"/>
      <c r="AN68" s="1829"/>
      <c r="AO68" s="1829"/>
      <c r="AP68" s="1829"/>
      <c r="AQ68" s="1829"/>
      <c r="AR68" s="1829"/>
      <c r="AS68" s="1829"/>
      <c r="AT68" s="1829"/>
      <c r="AU68" s="1829"/>
      <c r="AV68" s="1829"/>
      <c r="AW68" s="1829"/>
      <c r="AX68" s="1829"/>
      <c r="AY68" s="1829"/>
      <c r="AZ68" s="1829"/>
      <c r="BA68" s="1829"/>
      <c r="BB68" s="1829"/>
      <c r="BC68" s="1829"/>
      <c r="BD68" s="1829"/>
      <c r="BE68" s="1829"/>
      <c r="BF68" s="1829"/>
      <c r="BG68" s="1642"/>
    </row>
    <row customHeight="1" ht="11.25">
      <c r="A69" s="1173" t="s">
        <v>1044</v>
      </c>
      <c r="B69" s="1173"/>
      <c r="C69" s="1173"/>
      <c r="D69" s="1167"/>
      <c r="E69" s="1177"/>
      <c r="F69" s="1835"/>
      <c r="G69" s="690" t="s">
        <v>576</v>
      </c>
      <c r="H69" s="2535" t="s">
        <v>89</v>
      </c>
      <c r="I69" s="2536"/>
      <c r="J69" s="2505"/>
      <c r="K69" s="2537" t="s">
        <v>1096</v>
      </c>
      <c r="L69" s="2127" t="s">
        <v>19</v>
      </c>
      <c r="M69" s="2128"/>
      <c r="N69" s="1990"/>
      <c r="O69" s="1184" t="s">
        <v>375</v>
      </c>
      <c r="P69" s="1185"/>
      <c r="Q69" s="1185"/>
      <c r="R69" s="1185"/>
      <c r="S69" s="1185"/>
      <c r="T69" s="1185"/>
      <c r="U69" s="1185"/>
      <c r="V69" s="1185"/>
      <c r="W69" s="1185"/>
      <c r="X69" s="1185"/>
      <c r="Y69" s="1185"/>
      <c r="Z69" s="1185"/>
      <c r="AA69" s="1185"/>
      <c r="AB69" s="1185"/>
      <c r="AC69" s="1185"/>
      <c r="AD69" s="1185"/>
      <c r="AE69" s="1185"/>
      <c r="AF69" s="2526">
        <v>2024</v>
      </c>
      <c r="AG69" s="2527" t="s">
        <v>1077</v>
      </c>
      <c r="AH69" s="2527" t="s">
        <v>1078</v>
      </c>
      <c r="AI69" s="2668"/>
      <c r="AJ69" s="2527" t="s">
        <v>1079</v>
      </c>
      <c r="AK69" s="2527" t="s">
        <v>1079</v>
      </c>
      <c r="AL69" s="1992"/>
      <c r="AM69" s="1829"/>
      <c r="AN69" s="1829"/>
      <c r="AO69" s="1829"/>
      <c r="AP69" s="1829"/>
      <c r="AQ69" s="1829"/>
      <c r="AR69" s="1829"/>
      <c r="AS69" s="1829"/>
      <c r="AT69" s="1829"/>
      <c r="AU69" s="1829"/>
      <c r="AV69" s="1829"/>
      <c r="AW69" s="1829"/>
      <c r="AX69" s="1829"/>
      <c r="AY69" s="1829"/>
      <c r="AZ69" s="1829"/>
      <c r="BA69" s="1829"/>
      <c r="BB69" s="1829"/>
      <c r="BC69" s="1829"/>
      <c r="BD69" s="1829"/>
      <c r="BE69" s="1829"/>
      <c r="BF69" s="1829"/>
      <c r="BG69" s="1642"/>
    </row>
    <row customHeight="1" ht="11.25">
      <c r="A70" s="1173" t="s">
        <v>1044</v>
      </c>
      <c r="B70" s="1173"/>
      <c r="C70" s="1173"/>
      <c r="D70" s="1167"/>
      <c r="E70" s="1177"/>
      <c r="F70" s="1835"/>
      <c r="G70" s="1836"/>
      <c r="H70" s="2535" t="s">
        <v>110</v>
      </c>
      <c r="I70" s="2536"/>
      <c r="J70" s="2505"/>
      <c r="K70" s="2537"/>
      <c r="L70" s="2127"/>
      <c r="M70" s="2128"/>
      <c r="N70" s="2528"/>
      <c r="O70" s="2529">
        <v>1</v>
      </c>
      <c r="P70" s="2530" t="s">
        <v>61</v>
      </c>
      <c r="Q70" s="2665" t="s">
        <v>1097</v>
      </c>
      <c r="R70" s="2666" t="s">
        <v>1098</v>
      </c>
      <c r="S70" s="2666" t="s">
        <v>99</v>
      </c>
      <c r="T70" s="2666" t="s">
        <v>100</v>
      </c>
      <c r="U70" s="2666" t="s">
        <v>101</v>
      </c>
      <c r="V70" s="2666" t="s">
        <v>1082</v>
      </c>
      <c r="W70" s="2666" t="s">
        <v>1083</v>
      </c>
      <c r="X70" s="2666" t="s">
        <v>1082</v>
      </c>
      <c r="Y70" s="2666" t="s">
        <v>1082</v>
      </c>
      <c r="Z70" s="1182"/>
      <c r="AA70" s="1183"/>
      <c r="AB70" s="1183"/>
      <c r="AC70" s="1187"/>
      <c r="AD70" s="1187"/>
      <c r="AE70" s="1188"/>
      <c r="AF70" s="2526"/>
      <c r="AG70" s="2527"/>
      <c r="AH70" s="2527"/>
      <c r="AI70" s="2668"/>
      <c r="AJ70" s="2527"/>
      <c r="AK70" s="2527"/>
      <c r="AL70" s="1992"/>
      <c r="AM70" s="1829"/>
      <c r="AN70" s="1829"/>
      <c r="AO70" s="1829"/>
      <c r="AP70" s="1829"/>
      <c r="AQ70" s="1829"/>
      <c r="AR70" s="1829"/>
      <c r="AS70" s="1829"/>
      <c r="AT70" s="1829"/>
      <c r="AU70" s="1829"/>
      <c r="AV70" s="1829"/>
      <c r="AW70" s="1829"/>
      <c r="AX70" s="1829"/>
      <c r="AY70" s="1829"/>
      <c r="AZ70" s="1829"/>
      <c r="BA70" s="1829"/>
      <c r="BB70" s="1829"/>
      <c r="BC70" s="1829"/>
      <c r="BD70" s="1829"/>
      <c r="BE70" s="1829"/>
      <c r="BF70" s="1829"/>
      <c r="BG70" s="1642"/>
    </row>
    <row customHeight="1" ht="11.25">
      <c r="A71" s="1173" t="s">
        <v>1044</v>
      </c>
      <c r="B71" s="1173"/>
      <c r="C71" s="1173"/>
      <c r="D71" s="1167"/>
      <c r="E71" s="1177"/>
      <c r="F71" s="1835"/>
      <c r="G71" s="1836"/>
      <c r="H71" s="2535" t="s">
        <v>110</v>
      </c>
      <c r="I71" s="2536"/>
      <c r="J71" s="2505"/>
      <c r="K71" s="2537"/>
      <c r="L71" s="2127"/>
      <c r="M71" s="2128"/>
      <c r="N71" s="2528"/>
      <c r="O71" s="2529"/>
      <c r="P71" s="2531"/>
      <c r="Q71" s="2665"/>
      <c r="R71" s="2533"/>
      <c r="S71" s="2534"/>
      <c r="T71" s="2533"/>
      <c r="U71" s="2533"/>
      <c r="V71" s="2533"/>
      <c r="W71" s="2533"/>
      <c r="X71" s="2533"/>
      <c r="Y71" s="2533"/>
      <c r="Z71" s="1834"/>
      <c r="AA71" s="1800">
        <v>1</v>
      </c>
      <c r="AB71" s="1186" t="s">
        <v>1094</v>
      </c>
      <c r="AC71" s="1176">
        <v>0</v>
      </c>
      <c r="AD71" s="1186" t="str">
        <f>AB71</f>
        <v>  Прочие собственные средства</v>
      </c>
      <c r="AE71" s="1176">
        <v>0</v>
      </c>
      <c r="AF71" s="2526"/>
      <c r="AG71" s="2527"/>
      <c r="AH71" s="2527"/>
      <c r="AI71" s="2668"/>
      <c r="AJ71" s="2527"/>
      <c r="AK71" s="2527"/>
      <c r="AL71" s="1992"/>
      <c r="AM71" s="1829"/>
      <c r="AN71" s="1829"/>
      <c r="AO71" s="1829"/>
      <c r="AP71" s="1829"/>
      <c r="AQ71" s="1829"/>
      <c r="AR71" s="1829"/>
      <c r="AS71" s="1829"/>
      <c r="AT71" s="1829"/>
      <c r="AU71" s="1829"/>
      <c r="AV71" s="1829"/>
      <c r="AW71" s="1829"/>
      <c r="AX71" s="1829"/>
      <c r="AY71" s="1829"/>
      <c r="AZ71" s="1829"/>
      <c r="BA71" s="1829"/>
      <c r="BB71" s="1829"/>
      <c r="BC71" s="1829"/>
      <c r="BD71" s="1829"/>
      <c r="BE71" s="1829"/>
      <c r="BF71" s="1829"/>
      <c r="BG71" s="1642"/>
    </row>
    <row customHeight="1" ht="11.25">
      <c r="A72" s="1173" t="s">
        <v>1044</v>
      </c>
      <c r="B72" s="1173"/>
      <c r="C72" s="1173"/>
      <c r="D72" s="1167"/>
      <c r="E72" s="1177"/>
      <c r="F72" s="1835"/>
      <c r="G72" s="1836"/>
      <c r="H72" s="2535" t="s">
        <v>110</v>
      </c>
      <c r="I72" s="2536"/>
      <c r="J72" s="2505"/>
      <c r="K72" s="2537"/>
      <c r="L72" s="2127"/>
      <c r="M72" s="2128"/>
      <c r="N72" s="2528"/>
      <c r="O72" s="2529"/>
      <c r="P72" s="2532"/>
      <c r="Q72" s="2665"/>
      <c r="R72" s="2533"/>
      <c r="S72" s="2534"/>
      <c r="T72" s="2533"/>
      <c r="U72" s="2533"/>
      <c r="V72" s="2533"/>
      <c r="W72" s="2533"/>
      <c r="X72" s="2533"/>
      <c r="Y72" s="2533"/>
      <c r="Z72" s="1182"/>
      <c r="AA72" s="1183"/>
      <c r="AB72" s="1248" t="s">
        <v>1088</v>
      </c>
      <c r="AC72" s="1187"/>
      <c r="AD72" s="1187"/>
      <c r="AE72" s="1189"/>
      <c r="AF72" s="2526"/>
      <c r="AG72" s="2527"/>
      <c r="AH72" s="2527"/>
      <c r="AI72" s="2668"/>
      <c r="AJ72" s="2527"/>
      <c r="AK72" s="2527"/>
      <c r="AL72" s="1992"/>
      <c r="AM72" s="1829"/>
      <c r="AN72" s="1829"/>
      <c r="AO72" s="1829"/>
      <c r="AP72" s="1829"/>
      <c r="AQ72" s="1829"/>
      <c r="AR72" s="1829"/>
      <c r="AS72" s="1829"/>
      <c r="AT72" s="1829"/>
      <c r="AU72" s="1829"/>
      <c r="AV72" s="1829"/>
      <c r="AW72" s="1829"/>
      <c r="AX72" s="1829"/>
      <c r="AY72" s="1829"/>
      <c r="AZ72" s="1829"/>
      <c r="BA72" s="1829"/>
      <c r="BB72" s="1829"/>
      <c r="BC72" s="1829"/>
      <c r="BD72" s="1829"/>
      <c r="BE72" s="1829"/>
      <c r="BF72" s="1829"/>
      <c r="BG72" s="1642"/>
    </row>
    <row customHeight="1" ht="11.25">
      <c r="A73" s="1173" t="s">
        <v>1044</v>
      </c>
      <c r="B73" s="1173"/>
      <c r="C73" s="1173"/>
      <c r="D73" s="1167"/>
      <c r="E73" s="1177"/>
      <c r="F73" s="1835"/>
      <c r="G73" s="1836"/>
      <c r="H73" s="2535" t="s">
        <v>110</v>
      </c>
      <c r="I73" s="2536"/>
      <c r="J73" s="2505"/>
      <c r="K73" s="2537"/>
      <c r="L73" s="2127"/>
      <c r="M73" s="2128"/>
      <c r="N73" s="1182"/>
      <c r="O73" s="1183"/>
      <c r="P73" s="1175" t="s">
        <v>1089</v>
      </c>
      <c r="Q73" s="1183"/>
      <c r="R73" s="1183"/>
      <c r="S73" s="1183"/>
      <c r="T73" s="1183"/>
      <c r="U73" s="1183"/>
      <c r="V73" s="1183"/>
      <c r="W73" s="1183"/>
      <c r="X73" s="1183"/>
      <c r="Y73" s="1183"/>
      <c r="Z73" s="1183"/>
      <c r="AA73" s="1183"/>
      <c r="AB73" s="1183"/>
      <c r="AC73" s="1183"/>
      <c r="AD73" s="1183"/>
      <c r="AE73" s="1190"/>
      <c r="AF73" s="2526"/>
      <c r="AG73" s="2527"/>
      <c r="AH73" s="2527"/>
      <c r="AI73" s="2668"/>
      <c r="AJ73" s="2527"/>
      <c r="AK73" s="2527"/>
      <c r="AL73" s="1992"/>
      <c r="AM73" s="1829"/>
      <c r="AN73" s="1829"/>
      <c r="AO73" s="1829"/>
      <c r="AP73" s="1829"/>
      <c r="AQ73" s="1829"/>
      <c r="AR73" s="1829"/>
      <c r="AS73" s="1829"/>
      <c r="AT73" s="1829"/>
      <c r="AU73" s="1829"/>
      <c r="AV73" s="1829"/>
      <c r="AW73" s="1829"/>
      <c r="AX73" s="1829"/>
      <c r="AY73" s="1829"/>
      <c r="AZ73" s="1829"/>
      <c r="BA73" s="1829"/>
      <c r="BB73" s="1829"/>
      <c r="BC73" s="1829"/>
      <c r="BD73" s="1829"/>
      <c r="BE73" s="1829"/>
      <c r="BF73" s="1829"/>
      <c r="BG73" s="1642"/>
    </row>
    <row customHeight="1" ht="11.25">
      <c r="A74" s="1173" t="s">
        <v>1044</v>
      </c>
      <c r="B74" s="1173"/>
      <c r="C74" s="1173"/>
      <c r="D74" s="1167"/>
      <c r="E74" s="1177"/>
      <c r="F74" s="1835"/>
      <c r="G74" s="690" t="s">
        <v>576</v>
      </c>
      <c r="H74" s="2535" t="s">
        <v>90</v>
      </c>
      <c r="I74" s="2536"/>
      <c r="J74" s="2505"/>
      <c r="K74" s="2537" t="s">
        <v>1105</v>
      </c>
      <c r="L74" s="2127" t="s">
        <v>19</v>
      </c>
      <c r="M74" s="2128"/>
      <c r="N74" s="1990"/>
      <c r="O74" s="1184" t="s">
        <v>375</v>
      </c>
      <c r="P74" s="1185"/>
      <c r="Q74" s="1185"/>
      <c r="R74" s="1185"/>
      <c r="S74" s="1185"/>
      <c r="T74" s="1185"/>
      <c r="U74" s="1185"/>
      <c r="V74" s="1185"/>
      <c r="W74" s="1185"/>
      <c r="X74" s="1185"/>
      <c r="Y74" s="1185"/>
      <c r="Z74" s="1185"/>
      <c r="AA74" s="1185"/>
      <c r="AB74" s="1185"/>
      <c r="AC74" s="1185"/>
      <c r="AD74" s="1185"/>
      <c r="AE74" s="1185"/>
      <c r="AF74" s="2526">
        <v>2024</v>
      </c>
      <c r="AG74" s="2527" t="s">
        <v>1077</v>
      </c>
      <c r="AH74" s="2527" t="s">
        <v>1078</v>
      </c>
      <c r="AI74" s="2526">
        <v>2024</v>
      </c>
      <c r="AJ74" s="2527" t="s">
        <v>1100</v>
      </c>
      <c r="AK74" s="2527" t="s">
        <v>1078</v>
      </c>
      <c r="AL74" s="1992"/>
      <c r="AM74" s="1829"/>
      <c r="AN74" s="1829"/>
      <c r="AO74" s="1829"/>
      <c r="AP74" s="1829"/>
      <c r="AQ74" s="1829"/>
      <c r="AR74" s="1829"/>
      <c r="AS74" s="1829"/>
      <c r="AT74" s="1829"/>
      <c r="AU74" s="1829"/>
      <c r="AV74" s="1829"/>
      <c r="AW74" s="1829"/>
      <c r="AX74" s="1829"/>
      <c r="AY74" s="1829"/>
      <c r="AZ74" s="1829"/>
      <c r="BA74" s="1829"/>
      <c r="BB74" s="1829"/>
      <c r="BC74" s="1829"/>
      <c r="BD74" s="1829"/>
      <c r="BE74" s="1829"/>
      <c r="BF74" s="1829"/>
      <c r="BG74" s="1642"/>
    </row>
    <row customHeight="1" ht="11.25">
      <c r="A75" s="1173" t="s">
        <v>1044</v>
      </c>
      <c r="B75" s="1173"/>
      <c r="C75" s="1173"/>
      <c r="D75" s="1167"/>
      <c r="E75" s="1177"/>
      <c r="F75" s="1835"/>
      <c r="G75" s="1836"/>
      <c r="H75" s="2535" t="s">
        <v>89</v>
      </c>
      <c r="I75" s="2536"/>
      <c r="J75" s="2505"/>
      <c r="K75" s="2537"/>
      <c r="L75" s="2127"/>
      <c r="M75" s="2128"/>
      <c r="N75" s="2528"/>
      <c r="O75" s="2529">
        <v>1</v>
      </c>
      <c r="P75" s="2530" t="s">
        <v>61</v>
      </c>
      <c r="Q75" s="2665" t="s">
        <v>1097</v>
      </c>
      <c r="R75" s="2666" t="s">
        <v>1098</v>
      </c>
      <c r="S75" s="2666" t="s">
        <v>99</v>
      </c>
      <c r="T75" s="2666" t="s">
        <v>100</v>
      </c>
      <c r="U75" s="2666" t="s">
        <v>101</v>
      </c>
      <c r="V75" s="2666" t="s">
        <v>1082</v>
      </c>
      <c r="W75" s="2666" t="s">
        <v>1083</v>
      </c>
      <c r="X75" s="2666" t="s">
        <v>1082</v>
      </c>
      <c r="Y75" s="2666" t="s">
        <v>1082</v>
      </c>
      <c r="Z75" s="1182"/>
      <c r="AA75" s="1183"/>
      <c r="AB75" s="1183"/>
      <c r="AC75" s="1187"/>
      <c r="AD75" s="1187"/>
      <c r="AE75" s="1188"/>
      <c r="AF75" s="2526"/>
      <c r="AG75" s="2527"/>
      <c r="AH75" s="2527"/>
      <c r="AI75" s="2526"/>
      <c r="AJ75" s="2527"/>
      <c r="AK75" s="2527"/>
      <c r="AL75" s="1992"/>
      <c r="AM75" s="1829"/>
      <c r="AN75" s="1829"/>
      <c r="AO75" s="1829"/>
      <c r="AP75" s="1829"/>
      <c r="AQ75" s="1829"/>
      <c r="AR75" s="1829"/>
      <c r="AS75" s="1829"/>
      <c r="AT75" s="1829"/>
      <c r="AU75" s="1829"/>
      <c r="AV75" s="1829"/>
      <c r="AW75" s="1829"/>
      <c r="AX75" s="1829"/>
      <c r="AY75" s="1829"/>
      <c r="AZ75" s="1829"/>
      <c r="BA75" s="1829"/>
      <c r="BB75" s="1829"/>
      <c r="BC75" s="1829"/>
      <c r="BD75" s="1829"/>
      <c r="BE75" s="1829"/>
      <c r="BF75" s="1829"/>
      <c r="BG75" s="1642"/>
    </row>
    <row customHeight="1" ht="11.25">
      <c r="A76" s="1173" t="s">
        <v>1044</v>
      </c>
      <c r="B76" s="1173"/>
      <c r="C76" s="1173"/>
      <c r="D76" s="1167"/>
      <c r="E76" s="1177"/>
      <c r="F76" s="1835"/>
      <c r="G76" s="1836"/>
      <c r="H76" s="2535" t="s">
        <v>89</v>
      </c>
      <c r="I76" s="2536"/>
      <c r="J76" s="2505"/>
      <c r="K76" s="2537"/>
      <c r="L76" s="2127"/>
      <c r="M76" s="2128"/>
      <c r="N76" s="2528"/>
      <c r="O76" s="2529"/>
      <c r="P76" s="2531"/>
      <c r="Q76" s="2665"/>
      <c r="R76" s="2533"/>
      <c r="S76" s="2534"/>
      <c r="T76" s="2533"/>
      <c r="U76" s="2533"/>
      <c r="V76" s="2533"/>
      <c r="W76" s="2533"/>
      <c r="X76" s="2533"/>
      <c r="Y76" s="2533"/>
      <c r="Z76" s="1834"/>
      <c r="AA76" s="1800">
        <v>1</v>
      </c>
      <c r="AB76" s="1186" t="s">
        <v>1086</v>
      </c>
      <c r="AC76" s="1176">
        <v>0</v>
      </c>
      <c r="AD76" s="1186" t="str">
        <f>AB76</f>
        <v>  Бюджет субъекта РФ</v>
      </c>
      <c r="AE76" s="1176">
        <v>0</v>
      </c>
      <c r="AF76" s="2526"/>
      <c r="AG76" s="2527"/>
      <c r="AH76" s="2527"/>
      <c r="AI76" s="2526"/>
      <c r="AJ76" s="2527"/>
      <c r="AK76" s="2527"/>
      <c r="AL76" s="1992"/>
      <c r="AM76" s="1829"/>
      <c r="AN76" s="1829"/>
      <c r="AO76" s="1829"/>
      <c r="AP76" s="1829"/>
      <c r="AQ76" s="1829"/>
      <c r="AR76" s="1829"/>
      <c r="AS76" s="1829"/>
      <c r="AT76" s="1829"/>
      <c r="AU76" s="1829"/>
      <c r="AV76" s="1829"/>
      <c r="AW76" s="1829"/>
      <c r="AX76" s="1829"/>
      <c r="AY76" s="1829"/>
      <c r="AZ76" s="1829"/>
      <c r="BA76" s="1829"/>
      <c r="BB76" s="1829"/>
      <c r="BC76" s="1829"/>
      <c r="BD76" s="1829"/>
      <c r="BE76" s="1829"/>
      <c r="BF76" s="1829"/>
      <c r="BG76" s="1642"/>
    </row>
    <row customHeight="1" ht="11.25">
      <c r="A77" s="1173" t="s">
        <v>1044</v>
      </c>
      <c r="B77" s="1173"/>
      <c r="C77" s="1173"/>
      <c r="D77" s="1167"/>
      <c r="E77" s="1177"/>
      <c r="F77" s="1836"/>
      <c r="G77" s="1836"/>
      <c r="H77" s="1836"/>
      <c r="I77" s="1836"/>
      <c r="J77" s="1836"/>
      <c r="K77" s="1836"/>
      <c r="L77" s="1836"/>
      <c r="M77" s="1836"/>
      <c r="N77" s="1836"/>
      <c r="O77" s="1836"/>
      <c r="P77" s="1836"/>
      <c r="Q77" s="1836"/>
      <c r="R77" s="1836"/>
      <c r="S77" s="1836"/>
      <c r="T77" s="1836"/>
      <c r="U77" s="1836"/>
      <c r="V77" s="1836"/>
      <c r="W77" s="1836"/>
      <c r="X77" s="1836"/>
      <c r="Y77" s="1836"/>
      <c r="Z77" s="690" t="s">
        <v>576</v>
      </c>
      <c r="AA77" s="1820" t="s">
        <v>110</v>
      </c>
      <c r="AB77" s="1186" t="s">
        <v>1087</v>
      </c>
      <c r="AC77" s="1176">
        <v>0</v>
      </c>
      <c r="AD77" s="1186" t="str">
        <f>AB77</f>
        <v>  Бюджет муниципального образования</v>
      </c>
      <c r="AE77" s="1176">
        <v>0</v>
      </c>
      <c r="AF77" s="2093"/>
      <c r="AG77" s="1765"/>
      <c r="AH77" s="1765"/>
      <c r="AI77" s="2093"/>
      <c r="AJ77" s="1765"/>
      <c r="AK77" s="1991"/>
      <c r="AL77" s="1992"/>
      <c r="AM77" s="1829"/>
      <c r="AN77" s="1829"/>
      <c r="AO77" s="1829"/>
      <c r="AP77" s="1829"/>
      <c r="AQ77" s="1829"/>
      <c r="AR77" s="1829"/>
      <c r="AS77" s="1829"/>
      <c r="AT77" s="1829"/>
      <c r="AU77" s="1829"/>
      <c r="AV77" s="1829"/>
      <c r="AW77" s="1829"/>
      <c r="AX77" s="1829"/>
      <c r="AY77" s="1829"/>
      <c r="AZ77" s="1829"/>
      <c r="BA77" s="1829"/>
      <c r="BB77" s="1829"/>
      <c r="BC77" s="1829"/>
      <c r="BD77" s="1829"/>
      <c r="BE77" s="1829"/>
      <c r="BF77" s="1829"/>
      <c r="BG77" s="1642"/>
    </row>
    <row customHeight="1" ht="11.25">
      <c r="A78" s="1173" t="s">
        <v>1044</v>
      </c>
      <c r="B78" s="1173"/>
      <c r="C78" s="1173"/>
      <c r="D78" s="1167"/>
      <c r="E78" s="1177"/>
      <c r="F78" s="1835"/>
      <c r="G78" s="1836"/>
      <c r="H78" s="2535" t="s">
        <v>89</v>
      </c>
      <c r="I78" s="2536"/>
      <c r="J78" s="2505"/>
      <c r="K78" s="2537"/>
      <c r="L78" s="2127"/>
      <c r="M78" s="2128"/>
      <c r="N78" s="2528"/>
      <c r="O78" s="2529"/>
      <c r="P78" s="2532"/>
      <c r="Q78" s="2665"/>
      <c r="R78" s="2533"/>
      <c r="S78" s="2534"/>
      <c r="T78" s="2533"/>
      <c r="U78" s="2533"/>
      <c r="V78" s="2533"/>
      <c r="W78" s="2533"/>
      <c r="X78" s="2533"/>
      <c r="Y78" s="2533"/>
      <c r="Z78" s="1182"/>
      <c r="AA78" s="1183"/>
      <c r="AB78" s="1248" t="s">
        <v>1088</v>
      </c>
      <c r="AC78" s="1187"/>
      <c r="AD78" s="1187"/>
      <c r="AE78" s="1189"/>
      <c r="AF78" s="2526"/>
      <c r="AG78" s="2527"/>
      <c r="AH78" s="2527"/>
      <c r="AI78" s="2526"/>
      <c r="AJ78" s="2527"/>
      <c r="AK78" s="2527"/>
      <c r="AL78" s="1992"/>
      <c r="AM78" s="1829"/>
      <c r="AN78" s="1829"/>
      <c r="AO78" s="1829"/>
      <c r="AP78" s="1829"/>
      <c r="AQ78" s="1829"/>
      <c r="AR78" s="1829"/>
      <c r="AS78" s="1829"/>
      <c r="AT78" s="1829"/>
      <c r="AU78" s="1829"/>
      <c r="AV78" s="1829"/>
      <c r="AW78" s="1829"/>
      <c r="AX78" s="1829"/>
      <c r="AY78" s="1829"/>
      <c r="AZ78" s="1829"/>
      <c r="BA78" s="1829"/>
      <c r="BB78" s="1829"/>
      <c r="BC78" s="1829"/>
      <c r="BD78" s="1829"/>
      <c r="BE78" s="1829"/>
      <c r="BF78" s="1829"/>
      <c r="BG78" s="1642"/>
    </row>
    <row customHeight="1" ht="11.25">
      <c r="A79" s="1173" t="s">
        <v>1044</v>
      </c>
      <c r="B79" s="1173"/>
      <c r="C79" s="1173"/>
      <c r="D79" s="1167"/>
      <c r="E79" s="1177"/>
      <c r="F79" s="1835"/>
      <c r="G79" s="1836"/>
      <c r="H79" s="2535" t="s">
        <v>89</v>
      </c>
      <c r="I79" s="2536"/>
      <c r="J79" s="2505"/>
      <c r="K79" s="2537"/>
      <c r="L79" s="2127"/>
      <c r="M79" s="2128"/>
      <c r="N79" s="1182"/>
      <c r="O79" s="1183"/>
      <c r="P79" s="1175" t="s">
        <v>1089</v>
      </c>
      <c r="Q79" s="1183"/>
      <c r="R79" s="1183"/>
      <c r="S79" s="1183"/>
      <c r="T79" s="1183"/>
      <c r="U79" s="1183"/>
      <c r="V79" s="1183"/>
      <c r="W79" s="1183"/>
      <c r="X79" s="1183"/>
      <c r="Y79" s="1183"/>
      <c r="Z79" s="1183"/>
      <c r="AA79" s="1183"/>
      <c r="AB79" s="1183"/>
      <c r="AC79" s="1183"/>
      <c r="AD79" s="1183"/>
      <c r="AE79" s="1190"/>
      <c r="AF79" s="2526"/>
      <c r="AG79" s="2527"/>
      <c r="AH79" s="2527"/>
      <c r="AI79" s="2526"/>
      <c r="AJ79" s="2527"/>
      <c r="AK79" s="2527"/>
      <c r="AL79" s="1992"/>
      <c r="AM79" s="1829"/>
      <c r="AN79" s="1829"/>
      <c r="AO79" s="1829"/>
      <c r="AP79" s="1829"/>
      <c r="AQ79" s="1829"/>
      <c r="AR79" s="1829"/>
      <c r="AS79" s="1829"/>
      <c r="AT79" s="1829"/>
      <c r="AU79" s="1829"/>
      <c r="AV79" s="1829"/>
      <c r="AW79" s="1829"/>
      <c r="AX79" s="1829"/>
      <c r="AY79" s="1829"/>
      <c r="AZ79" s="1829"/>
      <c r="BA79" s="1829"/>
      <c r="BB79" s="1829"/>
      <c r="BC79" s="1829"/>
      <c r="BD79" s="1829"/>
      <c r="BE79" s="1829"/>
      <c r="BF79" s="1829"/>
      <c r="BG79" s="1642"/>
    </row>
    <row customHeight="1" ht="11.25">
      <c r="A80" s="1173" t="s">
        <v>1044</v>
      </c>
      <c r="B80" s="1173"/>
      <c r="C80" s="1173"/>
      <c r="D80" s="1167"/>
      <c r="E80" s="1177"/>
      <c r="F80" s="1835"/>
      <c r="G80" s="690" t="s">
        <v>576</v>
      </c>
      <c r="H80" s="2535" t="s">
        <v>111</v>
      </c>
      <c r="I80" s="2536"/>
      <c r="J80" s="2505"/>
      <c r="K80" s="2537" t="s">
        <v>1101</v>
      </c>
      <c r="L80" s="2127" t="s">
        <v>19</v>
      </c>
      <c r="M80" s="2128"/>
      <c r="N80" s="1990"/>
      <c r="O80" s="1184" t="s">
        <v>375</v>
      </c>
      <c r="P80" s="1185"/>
      <c r="Q80" s="1185"/>
      <c r="R80" s="1185"/>
      <c r="S80" s="1185"/>
      <c r="T80" s="1185"/>
      <c r="U80" s="1185"/>
      <c r="V80" s="1185"/>
      <c r="W80" s="1185"/>
      <c r="X80" s="1185"/>
      <c r="Y80" s="1185"/>
      <c r="Z80" s="1185"/>
      <c r="AA80" s="1185"/>
      <c r="AB80" s="1185"/>
      <c r="AC80" s="1185"/>
      <c r="AD80" s="1185"/>
      <c r="AE80" s="1185"/>
      <c r="AF80" s="2526">
        <v>2024</v>
      </c>
      <c r="AG80" s="2527" t="s">
        <v>1077</v>
      </c>
      <c r="AH80" s="2527" t="s">
        <v>1078</v>
      </c>
      <c r="AI80" s="2526">
        <v>2024</v>
      </c>
      <c r="AJ80" s="2527" t="s">
        <v>1100</v>
      </c>
      <c r="AK80" s="2527" t="s">
        <v>1078</v>
      </c>
      <c r="AL80" s="1992"/>
      <c r="AM80" s="1829"/>
      <c r="AN80" s="1829"/>
      <c r="AO80" s="1829"/>
      <c r="AP80" s="1829"/>
      <c r="AQ80" s="1829"/>
      <c r="AR80" s="1829"/>
      <c r="AS80" s="1829"/>
      <c r="AT80" s="1829"/>
      <c r="AU80" s="1829"/>
      <c r="AV80" s="1829"/>
      <c r="AW80" s="1829"/>
      <c r="AX80" s="1829"/>
      <c r="AY80" s="1829"/>
      <c r="AZ80" s="1829"/>
      <c r="BA80" s="1829"/>
      <c r="BB80" s="1829"/>
      <c r="BC80" s="1829"/>
      <c r="BD80" s="1829"/>
      <c r="BE80" s="1829"/>
      <c r="BF80" s="1829"/>
      <c r="BG80" s="1642"/>
    </row>
    <row customHeight="1" ht="11.25">
      <c r="A81" s="1173" t="s">
        <v>1044</v>
      </c>
      <c r="B81" s="1173"/>
      <c r="C81" s="1173"/>
      <c r="D81" s="1167"/>
      <c r="E81" s="1177"/>
      <c r="F81" s="1835"/>
      <c r="G81" s="1836"/>
      <c r="H81" s="2535" t="s">
        <v>90</v>
      </c>
      <c r="I81" s="2536"/>
      <c r="J81" s="2505"/>
      <c r="K81" s="2537"/>
      <c r="L81" s="2127"/>
      <c r="M81" s="2128"/>
      <c r="N81" s="2528"/>
      <c r="O81" s="2529">
        <v>1</v>
      </c>
      <c r="P81" s="2530" t="s">
        <v>61</v>
      </c>
      <c r="Q81" s="2665" t="s">
        <v>1097</v>
      </c>
      <c r="R81" s="2666" t="s">
        <v>1098</v>
      </c>
      <c r="S81" s="2666" t="s">
        <v>99</v>
      </c>
      <c r="T81" s="2666" t="s">
        <v>100</v>
      </c>
      <c r="U81" s="2666" t="s">
        <v>101</v>
      </c>
      <c r="V81" s="2666" t="s">
        <v>1082</v>
      </c>
      <c r="W81" s="2666" t="s">
        <v>1083</v>
      </c>
      <c r="X81" s="2666" t="s">
        <v>1082</v>
      </c>
      <c r="Y81" s="2666" t="s">
        <v>1082</v>
      </c>
      <c r="Z81" s="1182"/>
      <c r="AA81" s="1183"/>
      <c r="AB81" s="1183"/>
      <c r="AC81" s="1187"/>
      <c r="AD81" s="1187"/>
      <c r="AE81" s="1188"/>
      <c r="AF81" s="2526"/>
      <c r="AG81" s="2527"/>
      <c r="AH81" s="2527"/>
      <c r="AI81" s="2526"/>
      <c r="AJ81" s="2527"/>
      <c r="AK81" s="2527"/>
      <c r="AL81" s="1992"/>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c r="BG81" s="1642"/>
    </row>
    <row customHeight="1" ht="11.25">
      <c r="A82" s="1173" t="s">
        <v>1044</v>
      </c>
      <c r="B82" s="1173"/>
      <c r="C82" s="1173"/>
      <c r="D82" s="1167"/>
      <c r="E82" s="1177"/>
      <c r="F82" s="1835"/>
      <c r="G82" s="1836"/>
      <c r="H82" s="2535" t="s">
        <v>90</v>
      </c>
      <c r="I82" s="2536"/>
      <c r="J82" s="2505"/>
      <c r="K82" s="2537"/>
      <c r="L82" s="2127"/>
      <c r="M82" s="2128"/>
      <c r="N82" s="2528"/>
      <c r="O82" s="2529"/>
      <c r="P82" s="2531"/>
      <c r="Q82" s="2665"/>
      <c r="R82" s="2533"/>
      <c r="S82" s="2534"/>
      <c r="T82" s="2533"/>
      <c r="U82" s="2533"/>
      <c r="V82" s="2533"/>
      <c r="W82" s="2533"/>
      <c r="X82" s="2533"/>
      <c r="Y82" s="2533"/>
      <c r="Z82" s="1834"/>
      <c r="AA82" s="1800">
        <v>1</v>
      </c>
      <c r="AB82" s="1186" t="s">
        <v>1086</v>
      </c>
      <c r="AC82" s="1176">
        <v>0</v>
      </c>
      <c r="AD82" s="1186" t="str">
        <f>AB82</f>
        <v>  Бюджет субъекта РФ</v>
      </c>
      <c r="AE82" s="1176">
        <v>0</v>
      </c>
      <c r="AF82" s="2526"/>
      <c r="AG82" s="2527"/>
      <c r="AH82" s="2527"/>
      <c r="AI82" s="2526"/>
      <c r="AJ82" s="2527"/>
      <c r="AK82" s="2527"/>
      <c r="AL82" s="1992"/>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c r="BG82" s="1642"/>
    </row>
    <row customHeight="1" ht="11.25">
      <c r="A83" s="1173" t="s">
        <v>1044</v>
      </c>
      <c r="B83" s="1173"/>
      <c r="C83" s="1173"/>
      <c r="D83" s="1167"/>
      <c r="E83" s="1177"/>
      <c r="F83" s="1836"/>
      <c r="G83" s="1836"/>
      <c r="H83" s="1836"/>
      <c r="I83" s="1836"/>
      <c r="J83" s="1836"/>
      <c r="K83" s="1836"/>
      <c r="L83" s="1836"/>
      <c r="M83" s="1836"/>
      <c r="N83" s="1836"/>
      <c r="O83" s="1836"/>
      <c r="P83" s="1836"/>
      <c r="Q83" s="1836"/>
      <c r="R83" s="1836"/>
      <c r="S83" s="1836"/>
      <c r="T83" s="1836"/>
      <c r="U83" s="1836"/>
      <c r="V83" s="1836"/>
      <c r="W83" s="1836"/>
      <c r="X83" s="1836"/>
      <c r="Y83" s="1836"/>
      <c r="Z83" s="690" t="s">
        <v>576</v>
      </c>
      <c r="AA83" s="1820" t="s">
        <v>110</v>
      </c>
      <c r="AB83" s="1186" t="s">
        <v>1087</v>
      </c>
      <c r="AC83" s="1176">
        <v>0</v>
      </c>
      <c r="AD83" s="1186" t="str">
        <f>AB83</f>
        <v>  Бюджет муниципального образования</v>
      </c>
      <c r="AE83" s="1176">
        <v>0</v>
      </c>
      <c r="AF83" s="2093"/>
      <c r="AG83" s="1765"/>
      <c r="AH83" s="1765"/>
      <c r="AI83" s="2093"/>
      <c r="AJ83" s="1765"/>
      <c r="AK83" s="1991"/>
      <c r="AL83" s="1992"/>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c r="BG83" s="1642"/>
    </row>
    <row customHeight="1" ht="11.25">
      <c r="A84" s="1173" t="s">
        <v>1044</v>
      </c>
      <c r="B84" s="1173"/>
      <c r="C84" s="1173"/>
      <c r="D84" s="1167"/>
      <c r="E84" s="1177"/>
      <c r="F84" s="1835"/>
      <c r="G84" s="1836"/>
      <c r="H84" s="2535" t="s">
        <v>90</v>
      </c>
      <c r="I84" s="2536"/>
      <c r="J84" s="2505"/>
      <c r="K84" s="2537"/>
      <c r="L84" s="2127"/>
      <c r="M84" s="2128"/>
      <c r="N84" s="2528"/>
      <c r="O84" s="2529"/>
      <c r="P84" s="2532"/>
      <c r="Q84" s="2665"/>
      <c r="R84" s="2533"/>
      <c r="S84" s="2534"/>
      <c r="T84" s="2533"/>
      <c r="U84" s="2533"/>
      <c r="V84" s="2533"/>
      <c r="W84" s="2533"/>
      <c r="X84" s="2533"/>
      <c r="Y84" s="2533"/>
      <c r="Z84" s="1182"/>
      <c r="AA84" s="1183"/>
      <c r="AB84" s="1248" t="s">
        <v>1088</v>
      </c>
      <c r="AC84" s="1187"/>
      <c r="AD84" s="1187"/>
      <c r="AE84" s="1189"/>
      <c r="AF84" s="2526"/>
      <c r="AG84" s="2527"/>
      <c r="AH84" s="2527"/>
      <c r="AI84" s="2526"/>
      <c r="AJ84" s="2527"/>
      <c r="AK84" s="2527"/>
      <c r="AL84" s="1992"/>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c r="BG84" s="1642"/>
    </row>
    <row customHeight="1" ht="11.25">
      <c r="A85" s="1173" t="s">
        <v>1044</v>
      </c>
      <c r="B85" s="1173"/>
      <c r="C85" s="1173"/>
      <c r="D85" s="1167"/>
      <c r="E85" s="1177"/>
      <c r="F85" s="1835"/>
      <c r="G85" s="1836"/>
      <c r="H85" s="2535" t="s">
        <v>90</v>
      </c>
      <c r="I85" s="2536"/>
      <c r="J85" s="2505"/>
      <c r="K85" s="2537"/>
      <c r="L85" s="2127"/>
      <c r="M85" s="2128"/>
      <c r="N85" s="1182"/>
      <c r="O85" s="1183"/>
      <c r="P85" s="1175" t="s">
        <v>1089</v>
      </c>
      <c r="Q85" s="1183"/>
      <c r="R85" s="1183"/>
      <c r="S85" s="1183"/>
      <c r="T85" s="1183"/>
      <c r="U85" s="1183"/>
      <c r="V85" s="1183"/>
      <c r="W85" s="1183"/>
      <c r="X85" s="1183"/>
      <c r="Y85" s="1183"/>
      <c r="Z85" s="1183"/>
      <c r="AA85" s="1183"/>
      <c r="AB85" s="1183"/>
      <c r="AC85" s="1183"/>
      <c r="AD85" s="1183"/>
      <c r="AE85" s="1190"/>
      <c r="AF85" s="2526"/>
      <c r="AG85" s="2527"/>
      <c r="AH85" s="2527"/>
      <c r="AI85" s="2526"/>
      <c r="AJ85" s="2527"/>
      <c r="AK85" s="2527"/>
      <c r="AL85" s="1992"/>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c r="BG85" s="1642"/>
    </row>
    <row customHeight="1" ht="12">
      <c r="A86" s="1173" t="s">
        <v>1044</v>
      </c>
      <c r="B86" s="1173"/>
      <c r="C86" s="1173"/>
      <c r="D86" s="1167"/>
      <c r="E86" s="1177"/>
      <c r="F86" s="2557"/>
      <c r="G86" s="1197"/>
      <c r="H86" s="1197"/>
      <c r="I86" s="2555" t="s">
        <v>1102</v>
      </c>
      <c r="J86" s="2555"/>
      <c r="K86" s="2555"/>
      <c r="L86" s="1180"/>
      <c r="M86" s="1180"/>
      <c r="N86" s="1181"/>
      <c r="O86" s="1181"/>
      <c r="P86" s="1181"/>
      <c r="Q86" s="1181"/>
      <c r="R86" s="1181"/>
      <c r="S86" s="1181"/>
      <c r="T86" s="1181"/>
      <c r="U86" s="1181"/>
      <c r="V86" s="1181"/>
      <c r="W86" s="1181"/>
      <c r="X86" s="1181"/>
      <c r="Y86" s="1181"/>
      <c r="Z86" s="1181"/>
      <c r="AA86" s="1181"/>
      <c r="AB86" s="1181"/>
      <c r="AC86" s="1181"/>
      <c r="AD86" s="1181"/>
      <c r="AE86" s="1181"/>
      <c r="AF86" s="1181"/>
      <c r="AG86" s="1180"/>
      <c r="AH86" s="1180"/>
      <c r="AI86" s="1181"/>
      <c r="AJ86" s="1180"/>
      <c r="AK86" s="1181"/>
      <c r="AL86" s="1992"/>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c r="BG86" s="1642"/>
    </row>
    <row customHeight="1" ht="0.75">
      <c r="A87" s="1173" t="s">
        <v>1044</v>
      </c>
      <c r="B87" s="1173"/>
      <c r="C87" s="1173"/>
      <c r="D87" s="1167"/>
      <c r="E87" s="1177"/>
      <c r="F87" s="2556">
        <v>2026</v>
      </c>
      <c r="G87" s="2535"/>
      <c r="H87" s="2560" t="s">
        <v>375</v>
      </c>
      <c r="I87" s="2561"/>
      <c r="J87" s="2562"/>
      <c r="K87" s="2562"/>
      <c r="L87" s="2554"/>
      <c r="M87" s="2288"/>
      <c r="N87" s="2040"/>
      <c r="O87" s="2039"/>
      <c r="P87" s="2040"/>
      <c r="Q87" s="2040"/>
      <c r="R87" s="2040"/>
      <c r="S87" s="2040"/>
      <c r="T87" s="2040"/>
      <c r="U87" s="2040"/>
      <c r="V87" s="2040"/>
      <c r="W87" s="2040"/>
      <c r="X87" s="2040"/>
      <c r="Y87" s="2040"/>
      <c r="Z87" s="2040"/>
      <c r="AA87" s="2040"/>
      <c r="AB87" s="2040"/>
      <c r="AC87" s="2040"/>
      <c r="AD87" s="2040"/>
      <c r="AE87" s="2040"/>
      <c r="AF87" s="2558"/>
      <c r="AG87" s="2554"/>
      <c r="AH87" s="2554"/>
      <c r="AI87" s="2558"/>
      <c r="AJ87" s="2554"/>
      <c r="AK87" s="2554"/>
      <c r="AL87" s="1992"/>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c r="BG87" s="1642"/>
    </row>
    <row customHeight="1" ht="0.75">
      <c r="A88" s="1173" t="s">
        <v>1044</v>
      </c>
      <c r="B88" s="1173"/>
      <c r="C88" s="1173"/>
      <c r="D88" s="1167"/>
      <c r="E88" s="1177"/>
      <c r="F88" s="2556"/>
      <c r="G88" s="2535"/>
      <c r="H88" s="2560"/>
      <c r="I88" s="2561"/>
      <c r="J88" s="2562"/>
      <c r="K88" s="2562"/>
      <c r="L88" s="2554"/>
      <c r="M88" s="2288"/>
      <c r="N88" s="2563"/>
      <c r="O88" s="2564"/>
      <c r="P88" s="2608"/>
      <c r="Q88" s="2559"/>
      <c r="R88" s="2559"/>
      <c r="S88" s="2559"/>
      <c r="T88" s="2559"/>
      <c r="U88" s="2559"/>
      <c r="V88" s="2559"/>
      <c r="W88" s="2559"/>
      <c r="X88" s="2559"/>
      <c r="Y88" s="2559"/>
      <c r="Z88" s="2041"/>
      <c r="AA88" s="2042"/>
      <c r="AB88" s="2042"/>
      <c r="AC88" s="2043"/>
      <c r="AD88" s="2043"/>
      <c r="AE88" s="2044"/>
      <c r="AF88" s="2558"/>
      <c r="AG88" s="2554"/>
      <c r="AH88" s="2554"/>
      <c r="AI88" s="2558"/>
      <c r="AJ88" s="2554"/>
      <c r="AK88" s="2554"/>
      <c r="AL88" s="1992"/>
      <c r="AM88" s="1829"/>
      <c r="AN88" s="1829"/>
      <c r="AO88" s="1829"/>
      <c r="AP88" s="1829"/>
      <c r="AQ88" s="1829"/>
      <c r="AR88" s="1829"/>
      <c r="AS88" s="1829"/>
      <c r="AT88" s="1829"/>
      <c r="AU88" s="1829"/>
      <c r="AV88" s="1829"/>
      <c r="AW88" s="1829"/>
      <c r="AX88" s="1829"/>
      <c r="AY88" s="1829"/>
      <c r="AZ88" s="1829"/>
      <c r="BA88" s="1829"/>
      <c r="BB88" s="1829"/>
      <c r="BC88" s="1829"/>
      <c r="BD88" s="1829"/>
      <c r="BE88" s="1829"/>
      <c r="BF88" s="1829"/>
      <c r="BG88" s="1642"/>
    </row>
    <row customHeight="1" ht="0.75">
      <c r="A89" s="1173" t="s">
        <v>1044</v>
      </c>
      <c r="B89" s="1173"/>
      <c r="C89" s="1173"/>
      <c r="D89" s="1167"/>
      <c r="E89" s="1177"/>
      <c r="F89" s="2556"/>
      <c r="G89" s="2535"/>
      <c r="H89" s="2560"/>
      <c r="I89" s="2561"/>
      <c r="J89" s="2562"/>
      <c r="K89" s="2562"/>
      <c r="L89" s="2554"/>
      <c r="M89" s="2288"/>
      <c r="N89" s="2563"/>
      <c r="O89" s="2564"/>
      <c r="P89" s="2609"/>
      <c r="Q89" s="2559"/>
      <c r="R89" s="2559"/>
      <c r="S89" s="2559"/>
      <c r="T89" s="2559"/>
      <c r="U89" s="2559"/>
      <c r="V89" s="2559"/>
      <c r="W89" s="2559"/>
      <c r="X89" s="2559"/>
      <c r="Y89" s="2559"/>
      <c r="Z89" s="2045"/>
      <c r="AA89" s="2046"/>
      <c r="AB89" s="2047"/>
      <c r="AC89" s="2048"/>
      <c r="AD89" s="2047"/>
      <c r="AE89" s="2048"/>
      <c r="AF89" s="2558"/>
      <c r="AG89" s="2554"/>
      <c r="AH89" s="2554"/>
      <c r="AI89" s="2558"/>
      <c r="AJ89" s="2554"/>
      <c r="AK89" s="2554"/>
      <c r="AL89" s="1992"/>
      <c r="AM89" s="1829"/>
      <c r="AN89" s="1829"/>
      <c r="AO89" s="1829"/>
      <c r="AP89" s="1829"/>
      <c r="AQ89" s="1829"/>
      <c r="AR89" s="1829"/>
      <c r="AS89" s="1829"/>
      <c r="AT89" s="1829"/>
      <c r="AU89" s="1829"/>
      <c r="AV89" s="1829"/>
      <c r="AW89" s="1829"/>
      <c r="AX89" s="1829"/>
      <c r="AY89" s="1829"/>
      <c r="AZ89" s="1829"/>
      <c r="BA89" s="1829"/>
      <c r="BB89" s="1829"/>
      <c r="BC89" s="1829"/>
      <c r="BD89" s="1829"/>
      <c r="BE89" s="1829"/>
      <c r="BF89" s="1829"/>
      <c r="BG89" s="1642"/>
    </row>
    <row customHeight="1" ht="0.75">
      <c r="A90" s="1173" t="s">
        <v>1044</v>
      </c>
      <c r="B90" s="1173"/>
      <c r="C90" s="1173"/>
      <c r="D90" s="1167"/>
      <c r="E90" s="1177"/>
      <c r="F90" s="2556"/>
      <c r="G90" s="2535"/>
      <c r="H90" s="2560"/>
      <c r="I90" s="2561"/>
      <c r="J90" s="2562"/>
      <c r="K90" s="2562"/>
      <c r="L90" s="2554"/>
      <c r="M90" s="2288"/>
      <c r="N90" s="2563"/>
      <c r="O90" s="2564"/>
      <c r="P90" s="2610"/>
      <c r="Q90" s="2559"/>
      <c r="R90" s="2559"/>
      <c r="S90" s="2559"/>
      <c r="T90" s="2559"/>
      <c r="U90" s="2559"/>
      <c r="V90" s="2559"/>
      <c r="W90" s="2559"/>
      <c r="X90" s="2559"/>
      <c r="Y90" s="2559"/>
      <c r="Z90" s="2041"/>
      <c r="AA90" s="2042"/>
      <c r="AB90" s="2049"/>
      <c r="AC90" s="2043"/>
      <c r="AD90" s="2043"/>
      <c r="AE90" s="2050"/>
      <c r="AF90" s="2558"/>
      <c r="AG90" s="2554"/>
      <c r="AH90" s="2554"/>
      <c r="AI90" s="2558"/>
      <c r="AJ90" s="2554"/>
      <c r="AK90" s="2554"/>
      <c r="AL90" s="1992"/>
      <c r="AM90" s="1829"/>
      <c r="AN90" s="1829"/>
      <c r="AO90" s="1829"/>
      <c r="AP90" s="1829"/>
      <c r="AQ90" s="1829"/>
      <c r="AR90" s="1829"/>
      <c r="AS90" s="1829"/>
      <c r="AT90" s="1829"/>
      <c r="AU90" s="1829"/>
      <c r="AV90" s="1829"/>
      <c r="AW90" s="1829"/>
      <c r="AX90" s="1829"/>
      <c r="AY90" s="1829"/>
      <c r="AZ90" s="1829"/>
      <c r="BA90" s="1829"/>
      <c r="BB90" s="1829"/>
      <c r="BC90" s="1829"/>
      <c r="BD90" s="1829"/>
      <c r="BE90" s="1829"/>
      <c r="BF90" s="1829"/>
      <c r="BG90" s="1642"/>
    </row>
    <row customHeight="1" ht="0.75">
      <c r="A91" s="1173" t="s">
        <v>1044</v>
      </c>
      <c r="B91" s="1173"/>
      <c r="C91" s="1173"/>
      <c r="D91" s="1167"/>
      <c r="E91" s="1177"/>
      <c r="F91" s="2556"/>
      <c r="G91" s="2535"/>
      <c r="H91" s="2560"/>
      <c r="I91" s="2561"/>
      <c r="J91" s="2562"/>
      <c r="K91" s="2562"/>
      <c r="L91" s="2554"/>
      <c r="M91" s="2288"/>
      <c r="N91" s="2042"/>
      <c r="O91" s="2042"/>
      <c r="P91" s="2049"/>
      <c r="Q91" s="2042"/>
      <c r="R91" s="2042"/>
      <c r="S91" s="2042"/>
      <c r="T91" s="2042"/>
      <c r="U91" s="2042"/>
      <c r="V91" s="2042"/>
      <c r="W91" s="2042"/>
      <c r="X91" s="2042"/>
      <c r="Y91" s="2042"/>
      <c r="Z91" s="2042"/>
      <c r="AA91" s="2042"/>
      <c r="AB91" s="2042"/>
      <c r="AC91" s="2042"/>
      <c r="AD91" s="2042"/>
      <c r="AE91" s="2051"/>
      <c r="AF91" s="2558"/>
      <c r="AG91" s="2554"/>
      <c r="AH91" s="2554"/>
      <c r="AI91" s="2558"/>
      <c r="AJ91" s="2554"/>
      <c r="AK91" s="2554"/>
      <c r="AL91" s="1992"/>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c r="BG91" s="1642"/>
    </row>
    <row customHeight="1" ht="11.25">
      <c r="A92" s="1173" t="s">
        <v>1044</v>
      </c>
      <c r="B92" s="1173"/>
      <c r="C92" s="1173"/>
      <c r="D92" s="1167"/>
      <c r="E92" s="1177"/>
      <c r="F92" s="1835"/>
      <c r="G92" s="690" t="s">
        <v>576</v>
      </c>
      <c r="H92" s="2535" t="s">
        <v>109</v>
      </c>
      <c r="I92" s="2536"/>
      <c r="J92" s="2505"/>
      <c r="K92" s="2537" t="s">
        <v>1076</v>
      </c>
      <c r="L92" s="2127" t="s">
        <v>19</v>
      </c>
      <c r="M92" s="2128"/>
      <c r="N92" s="1990"/>
      <c r="O92" s="1184" t="s">
        <v>375</v>
      </c>
      <c r="P92" s="1185"/>
      <c r="Q92" s="1185"/>
      <c r="R92" s="1185"/>
      <c r="S92" s="1185"/>
      <c r="T92" s="1185"/>
      <c r="U92" s="1185"/>
      <c r="V92" s="1185"/>
      <c r="W92" s="1185"/>
      <c r="X92" s="1185"/>
      <c r="Y92" s="1185"/>
      <c r="Z92" s="1185"/>
      <c r="AA92" s="1185"/>
      <c r="AB92" s="1185"/>
      <c r="AC92" s="1185"/>
      <c r="AD92" s="1185"/>
      <c r="AE92" s="1185"/>
      <c r="AF92" s="2526">
        <v>2024</v>
      </c>
      <c r="AG92" s="2527" t="s">
        <v>1077</v>
      </c>
      <c r="AH92" s="2527" t="s">
        <v>1078</v>
      </c>
      <c r="AI92" s="2668"/>
      <c r="AJ92" s="2527" t="s">
        <v>1079</v>
      </c>
      <c r="AK92" s="2527" t="s">
        <v>1079</v>
      </c>
      <c r="AL92" s="1992"/>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c r="BG92" s="1642"/>
    </row>
    <row customHeight="1" ht="11.25">
      <c r="A93" s="1173" t="s">
        <v>1044</v>
      </c>
      <c r="B93" s="1173"/>
      <c r="C93" s="1173"/>
      <c r="D93" s="1167"/>
      <c r="E93" s="1177"/>
      <c r="F93" s="1835"/>
      <c r="G93" s="1836"/>
      <c r="H93" s="2535" t="s">
        <v>375</v>
      </c>
      <c r="I93" s="2536"/>
      <c r="J93" s="2505"/>
      <c r="K93" s="2537"/>
      <c r="L93" s="2127"/>
      <c r="M93" s="2128"/>
      <c r="N93" s="2528"/>
      <c r="O93" s="2529">
        <v>1</v>
      </c>
      <c r="P93" s="2530" t="s">
        <v>61</v>
      </c>
      <c r="Q93" s="2665" t="s">
        <v>1080</v>
      </c>
      <c r="R93" s="2666" t="s">
        <v>1081</v>
      </c>
      <c r="S93" s="2666" t="s">
        <v>99</v>
      </c>
      <c r="T93" s="2666" t="s">
        <v>100</v>
      </c>
      <c r="U93" s="2666" t="s">
        <v>101</v>
      </c>
      <c r="V93" s="2666" t="s">
        <v>1082</v>
      </c>
      <c r="W93" s="2666" t="s">
        <v>1083</v>
      </c>
      <c r="X93" s="2666" t="s">
        <v>1082</v>
      </c>
      <c r="Y93" s="2666" t="s">
        <v>1084</v>
      </c>
      <c r="Z93" s="1182"/>
      <c r="AA93" s="1183"/>
      <c r="AB93" s="1183"/>
      <c r="AC93" s="1187"/>
      <c r="AD93" s="1187"/>
      <c r="AE93" s="1188"/>
      <c r="AF93" s="2526"/>
      <c r="AG93" s="2527"/>
      <c r="AH93" s="2527"/>
      <c r="AI93" s="2668"/>
      <c r="AJ93" s="2527"/>
      <c r="AK93" s="2527"/>
      <c r="AL93" s="1992"/>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c r="BG93" s="1642"/>
    </row>
    <row customHeight="1" ht="11.25">
      <c r="A94" s="1173" t="s">
        <v>1044</v>
      </c>
      <c r="B94" s="1173"/>
      <c r="C94" s="1173"/>
      <c r="D94" s="1167"/>
      <c r="E94" s="1177"/>
      <c r="F94" s="1835"/>
      <c r="G94" s="1836"/>
      <c r="H94" s="2535" t="s">
        <v>375</v>
      </c>
      <c r="I94" s="2536"/>
      <c r="J94" s="2505"/>
      <c r="K94" s="2537"/>
      <c r="L94" s="2127"/>
      <c r="M94" s="2128"/>
      <c r="N94" s="2528"/>
      <c r="O94" s="2529"/>
      <c r="P94" s="2531"/>
      <c r="Q94" s="2665"/>
      <c r="R94" s="2533"/>
      <c r="S94" s="2534"/>
      <c r="T94" s="2533"/>
      <c r="U94" s="2533"/>
      <c r="V94" s="2533"/>
      <c r="W94" s="2533"/>
      <c r="X94" s="2533"/>
      <c r="Y94" s="2533"/>
      <c r="Z94" s="1834"/>
      <c r="AA94" s="1800">
        <v>1</v>
      </c>
      <c r="AB94" s="1186" t="s">
        <v>1085</v>
      </c>
      <c r="AC94" s="1176">
        <v>0</v>
      </c>
      <c r="AD94" s="1186" t="str">
        <f>AB94</f>
        <v>  Федеральный бюджет</v>
      </c>
      <c r="AE94" s="1176">
        <v>0</v>
      </c>
      <c r="AF94" s="2526"/>
      <c r="AG94" s="2527"/>
      <c r="AH94" s="2527"/>
      <c r="AI94" s="2668"/>
      <c r="AJ94" s="2527"/>
      <c r="AK94" s="2527"/>
      <c r="AL94" s="1992"/>
      <c r="AM94" s="1829"/>
      <c r="AN94" s="1829"/>
      <c r="AO94" s="1829"/>
      <c r="AP94" s="1829"/>
      <c r="AQ94" s="1829"/>
      <c r="AR94" s="1829"/>
      <c r="AS94" s="1829"/>
      <c r="AT94" s="1829"/>
      <c r="AU94" s="1829"/>
      <c r="AV94" s="1829"/>
      <c r="AW94" s="1829"/>
      <c r="AX94" s="1829"/>
      <c r="AY94" s="1829"/>
      <c r="AZ94" s="1829"/>
      <c r="BA94" s="1829"/>
      <c r="BB94" s="1829"/>
      <c r="BC94" s="1829"/>
      <c r="BD94" s="1829"/>
      <c r="BE94" s="1829"/>
      <c r="BF94" s="1829"/>
      <c r="BG94" s="1642"/>
    </row>
    <row customHeight="1" ht="11.25">
      <c r="A95" s="1173" t="s">
        <v>1044</v>
      </c>
      <c r="B95" s="1173"/>
      <c r="C95" s="1173"/>
      <c r="D95" s="1167"/>
      <c r="E95" s="1177"/>
      <c r="F95" s="1836"/>
      <c r="G95" s="1836"/>
      <c r="H95" s="1836"/>
      <c r="I95" s="1836"/>
      <c r="J95" s="1836"/>
      <c r="K95" s="1836"/>
      <c r="L95" s="1836"/>
      <c r="M95" s="1836"/>
      <c r="N95" s="1836"/>
      <c r="O95" s="1836"/>
      <c r="P95" s="1836"/>
      <c r="Q95" s="1836"/>
      <c r="R95" s="1836"/>
      <c r="S95" s="1836"/>
      <c r="T95" s="1836"/>
      <c r="U95" s="1836"/>
      <c r="V95" s="1836"/>
      <c r="W95" s="1836"/>
      <c r="X95" s="1836"/>
      <c r="Y95" s="1836"/>
      <c r="Z95" s="690" t="s">
        <v>576</v>
      </c>
      <c r="AA95" s="1820" t="s">
        <v>110</v>
      </c>
      <c r="AB95" s="1186" t="s">
        <v>1086</v>
      </c>
      <c r="AC95" s="1176">
        <v>0</v>
      </c>
      <c r="AD95" s="1186" t="str">
        <f>AB95</f>
        <v>  Бюджет субъекта РФ</v>
      </c>
      <c r="AE95" s="1176">
        <v>0</v>
      </c>
      <c r="AF95" s="2093"/>
      <c r="AG95" s="1765"/>
      <c r="AH95" s="1765"/>
      <c r="AI95" s="2669"/>
      <c r="AJ95" s="1765"/>
      <c r="AK95" s="1991"/>
      <c r="AL95" s="1992"/>
      <c r="AM95" s="1829"/>
      <c r="AN95" s="1829"/>
      <c r="AO95" s="1829"/>
      <c r="AP95" s="1829"/>
      <c r="AQ95" s="1829"/>
      <c r="AR95" s="1829"/>
      <c r="AS95" s="1829"/>
      <c r="AT95" s="1829"/>
      <c r="AU95" s="1829"/>
      <c r="AV95" s="1829"/>
      <c r="AW95" s="1829"/>
      <c r="AX95" s="1829"/>
      <c r="AY95" s="1829"/>
      <c r="AZ95" s="1829"/>
      <c r="BA95" s="1829"/>
      <c r="BB95" s="1829"/>
      <c r="BC95" s="1829"/>
      <c r="BD95" s="1829"/>
      <c r="BE95" s="1829"/>
      <c r="BF95" s="1829"/>
      <c r="BG95" s="1642"/>
    </row>
    <row customHeight="1" ht="11.25">
      <c r="A96" s="1173" t="s">
        <v>1044</v>
      </c>
      <c r="B96" s="1173"/>
      <c r="C96" s="1173"/>
      <c r="D96" s="1167"/>
      <c r="E96" s="1177"/>
      <c r="F96" s="1836"/>
      <c r="G96" s="1836"/>
      <c r="H96" s="1836"/>
      <c r="I96" s="1836"/>
      <c r="J96" s="1836"/>
      <c r="K96" s="1836"/>
      <c r="L96" s="1836"/>
      <c r="M96" s="1836"/>
      <c r="N96" s="1836"/>
      <c r="O96" s="1836"/>
      <c r="P96" s="1836"/>
      <c r="Q96" s="1836"/>
      <c r="R96" s="1836"/>
      <c r="S96" s="1836"/>
      <c r="T96" s="1836"/>
      <c r="U96" s="1836"/>
      <c r="V96" s="1836"/>
      <c r="W96" s="1836"/>
      <c r="X96" s="1836"/>
      <c r="Y96" s="1836"/>
      <c r="Z96" s="690" t="s">
        <v>576</v>
      </c>
      <c r="AA96" s="1820" t="s">
        <v>89</v>
      </c>
      <c r="AB96" s="1186" t="s">
        <v>1087</v>
      </c>
      <c r="AC96" s="1176">
        <v>0</v>
      </c>
      <c r="AD96" s="1186" t="str">
        <f>AB96</f>
        <v>  Бюджет муниципального образования</v>
      </c>
      <c r="AE96" s="1176">
        <v>0</v>
      </c>
      <c r="AF96" s="2093"/>
      <c r="AG96" s="1765"/>
      <c r="AH96" s="1765"/>
      <c r="AI96" s="2669"/>
      <c r="AJ96" s="1765"/>
      <c r="AK96" s="1991"/>
      <c r="AL96" s="1992"/>
      <c r="AM96" s="1829"/>
      <c r="AN96" s="1829"/>
      <c r="AO96" s="1829"/>
      <c r="AP96" s="1829"/>
      <c r="AQ96" s="1829"/>
      <c r="AR96" s="1829"/>
      <c r="AS96" s="1829"/>
      <c r="AT96" s="1829"/>
      <c r="AU96" s="1829"/>
      <c r="AV96" s="1829"/>
      <c r="AW96" s="1829"/>
      <c r="AX96" s="1829"/>
      <c r="AY96" s="1829"/>
      <c r="AZ96" s="1829"/>
      <c r="BA96" s="1829"/>
      <c r="BB96" s="1829"/>
      <c r="BC96" s="1829"/>
      <c r="BD96" s="1829"/>
      <c r="BE96" s="1829"/>
      <c r="BF96" s="1829"/>
      <c r="BG96" s="1642"/>
    </row>
    <row customHeight="1" ht="11.25">
      <c r="A97" s="1173" t="s">
        <v>1044</v>
      </c>
      <c r="B97" s="1173"/>
      <c r="C97" s="1173"/>
      <c r="D97" s="1167"/>
      <c r="E97" s="1177"/>
      <c r="F97" s="1835"/>
      <c r="G97" s="1836"/>
      <c r="H97" s="2535" t="s">
        <v>375</v>
      </c>
      <c r="I97" s="2536"/>
      <c r="J97" s="2505"/>
      <c r="K97" s="2537"/>
      <c r="L97" s="2127"/>
      <c r="M97" s="2128"/>
      <c r="N97" s="2528"/>
      <c r="O97" s="2529"/>
      <c r="P97" s="2532"/>
      <c r="Q97" s="2665"/>
      <c r="R97" s="2533"/>
      <c r="S97" s="2534"/>
      <c r="T97" s="2533"/>
      <c r="U97" s="2533"/>
      <c r="V97" s="2533"/>
      <c r="W97" s="2533"/>
      <c r="X97" s="2533"/>
      <c r="Y97" s="2533"/>
      <c r="Z97" s="1182"/>
      <c r="AA97" s="1183"/>
      <c r="AB97" s="1248" t="s">
        <v>1088</v>
      </c>
      <c r="AC97" s="1187"/>
      <c r="AD97" s="1187"/>
      <c r="AE97" s="1189"/>
      <c r="AF97" s="2526"/>
      <c r="AG97" s="2527"/>
      <c r="AH97" s="2527"/>
      <c r="AI97" s="2668"/>
      <c r="AJ97" s="2527"/>
      <c r="AK97" s="2527"/>
      <c r="AL97" s="1992"/>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c r="BG97" s="1642"/>
    </row>
    <row customHeight="1" ht="11.25">
      <c r="A98" s="1173" t="s">
        <v>1044</v>
      </c>
      <c r="B98" s="1173"/>
      <c r="C98" s="1173"/>
      <c r="D98" s="1167"/>
      <c r="E98" s="1177"/>
      <c r="F98" s="1835"/>
      <c r="G98" s="1836"/>
      <c r="H98" s="2535" t="s">
        <v>375</v>
      </c>
      <c r="I98" s="2536"/>
      <c r="J98" s="2505"/>
      <c r="K98" s="2537"/>
      <c r="L98" s="2127"/>
      <c r="M98" s="2128"/>
      <c r="N98" s="1182"/>
      <c r="O98" s="1183"/>
      <c r="P98" s="1175" t="s">
        <v>1089</v>
      </c>
      <c r="Q98" s="1183"/>
      <c r="R98" s="1183"/>
      <c r="S98" s="1183"/>
      <c r="T98" s="1183"/>
      <c r="U98" s="1183"/>
      <c r="V98" s="1183"/>
      <c r="W98" s="1183"/>
      <c r="X98" s="1183"/>
      <c r="Y98" s="1183"/>
      <c r="Z98" s="1183"/>
      <c r="AA98" s="1183"/>
      <c r="AB98" s="1183"/>
      <c r="AC98" s="1183"/>
      <c r="AD98" s="1183"/>
      <c r="AE98" s="1190"/>
      <c r="AF98" s="2526"/>
      <c r="AG98" s="2527"/>
      <c r="AH98" s="2527"/>
      <c r="AI98" s="2668"/>
      <c r="AJ98" s="2527"/>
      <c r="AK98" s="2527"/>
      <c r="AL98" s="1992"/>
      <c r="AM98" s="1829"/>
      <c r="AN98" s="1829"/>
      <c r="AO98" s="1829"/>
      <c r="AP98" s="1829"/>
      <c r="AQ98" s="1829"/>
      <c r="AR98" s="1829"/>
      <c r="AS98" s="1829"/>
      <c r="AT98" s="1829"/>
      <c r="AU98" s="1829"/>
      <c r="AV98" s="1829"/>
      <c r="AW98" s="1829"/>
      <c r="AX98" s="1829"/>
      <c r="AY98" s="1829"/>
      <c r="AZ98" s="1829"/>
      <c r="BA98" s="1829"/>
      <c r="BB98" s="1829"/>
      <c r="BC98" s="1829"/>
      <c r="BD98" s="1829"/>
      <c r="BE98" s="1829"/>
      <c r="BF98" s="1829"/>
      <c r="BG98" s="1642"/>
    </row>
    <row customHeight="1" ht="11.25">
      <c r="A99" s="1173" t="s">
        <v>1044</v>
      </c>
      <c r="B99" s="1173"/>
      <c r="C99" s="1173"/>
      <c r="D99" s="1167"/>
      <c r="E99" s="1177"/>
      <c r="F99" s="1835"/>
      <c r="G99" s="690" t="s">
        <v>576</v>
      </c>
      <c r="H99" s="2535" t="s">
        <v>110</v>
      </c>
      <c r="I99" s="2536"/>
      <c r="J99" s="2505"/>
      <c r="K99" s="2537" t="s">
        <v>1090</v>
      </c>
      <c r="L99" s="2127" t="s">
        <v>19</v>
      </c>
      <c r="M99" s="2128"/>
      <c r="N99" s="1990"/>
      <c r="O99" s="1184" t="s">
        <v>375</v>
      </c>
      <c r="P99" s="1185"/>
      <c r="Q99" s="1185"/>
      <c r="R99" s="1185"/>
      <c r="S99" s="1185"/>
      <c r="T99" s="1185"/>
      <c r="U99" s="1185"/>
      <c r="V99" s="1185"/>
      <c r="W99" s="1185"/>
      <c r="X99" s="1185"/>
      <c r="Y99" s="1185"/>
      <c r="Z99" s="1185"/>
      <c r="AA99" s="1185"/>
      <c r="AB99" s="1185"/>
      <c r="AC99" s="1185"/>
      <c r="AD99" s="1185"/>
      <c r="AE99" s="1185"/>
      <c r="AF99" s="2526">
        <v>2026</v>
      </c>
      <c r="AG99" s="2527" t="s">
        <v>1077</v>
      </c>
      <c r="AH99" s="2527" t="s">
        <v>1091</v>
      </c>
      <c r="AI99" s="2668"/>
      <c r="AJ99" s="2527" t="s">
        <v>1092</v>
      </c>
      <c r="AK99" s="2527" t="s">
        <v>1092</v>
      </c>
      <c r="AL99" s="1992"/>
      <c r="AM99" s="1829"/>
      <c r="AN99" s="1829"/>
      <c r="AO99" s="1829"/>
      <c r="AP99" s="1829"/>
      <c r="AQ99" s="1829"/>
      <c r="AR99" s="1829"/>
      <c r="AS99" s="1829"/>
      <c r="AT99" s="1829"/>
      <c r="AU99" s="1829"/>
      <c r="AV99" s="1829"/>
      <c r="AW99" s="1829"/>
      <c r="AX99" s="1829"/>
      <c r="AY99" s="1829"/>
      <c r="AZ99" s="1829"/>
      <c r="BA99" s="1829"/>
      <c r="BB99" s="1829"/>
      <c r="BC99" s="1829"/>
      <c r="BD99" s="1829"/>
      <c r="BE99" s="1829"/>
      <c r="BF99" s="1829"/>
      <c r="BG99" s="1642"/>
    </row>
    <row customHeight="1" ht="11.25">
      <c r="A100" s="1173" t="s">
        <v>1044</v>
      </c>
      <c r="B100" s="1173"/>
      <c r="C100" s="1173"/>
      <c r="D100" s="1167"/>
      <c r="E100" s="1177"/>
      <c r="F100" s="1835"/>
      <c r="G100" s="1836"/>
      <c r="H100" s="2535" t="s">
        <v>109</v>
      </c>
      <c r="I100" s="2536"/>
      <c r="J100" s="2505"/>
      <c r="K100" s="2537"/>
      <c r="L100" s="2127"/>
      <c r="M100" s="2128"/>
      <c r="N100" s="2528"/>
      <c r="O100" s="2529">
        <v>1</v>
      </c>
      <c r="P100" s="2530" t="s">
        <v>61</v>
      </c>
      <c r="Q100" s="2665" t="s">
        <v>1093</v>
      </c>
      <c r="R100" s="2666" t="s">
        <v>1081</v>
      </c>
      <c r="S100" s="2666" t="s">
        <v>99</v>
      </c>
      <c r="T100" s="2666" t="s">
        <v>100</v>
      </c>
      <c r="U100" s="2666" t="s">
        <v>101</v>
      </c>
      <c r="V100" s="2666" t="s">
        <v>1082</v>
      </c>
      <c r="W100" s="2666" t="s">
        <v>1083</v>
      </c>
      <c r="X100" s="2666" t="s">
        <v>1082</v>
      </c>
      <c r="Y100" s="2666" t="s">
        <v>1084</v>
      </c>
      <c r="Z100" s="1182"/>
      <c r="AA100" s="1183"/>
      <c r="AB100" s="1183"/>
      <c r="AC100" s="1187"/>
      <c r="AD100" s="1187"/>
      <c r="AE100" s="1188"/>
      <c r="AF100" s="2526"/>
      <c r="AG100" s="2527"/>
      <c r="AH100" s="2527"/>
      <c r="AI100" s="2668"/>
      <c r="AJ100" s="2527"/>
      <c r="AK100" s="2527"/>
      <c r="AL100" s="1992"/>
      <c r="AM100" s="1829"/>
      <c r="AN100" s="1829"/>
      <c r="AO100" s="1829"/>
      <c r="AP100" s="1829"/>
      <c r="AQ100" s="1829"/>
      <c r="AR100" s="1829"/>
      <c r="AS100" s="1829"/>
      <c r="AT100" s="1829"/>
      <c r="AU100" s="1829"/>
      <c r="AV100" s="1829"/>
      <c r="AW100" s="1829"/>
      <c r="AX100" s="1829"/>
      <c r="AY100" s="1829"/>
      <c r="AZ100" s="1829"/>
      <c r="BA100" s="1829"/>
      <c r="BB100" s="1829"/>
      <c r="BC100" s="1829"/>
      <c r="BD100" s="1829"/>
      <c r="BE100" s="1829"/>
      <c r="BF100" s="1829"/>
      <c r="BG100" s="1642"/>
    </row>
    <row customHeight="1" ht="11.25">
      <c r="A101" s="1173" t="s">
        <v>1044</v>
      </c>
      <c r="B101" s="1173"/>
      <c r="C101" s="1173"/>
      <c r="D101" s="1167"/>
      <c r="E101" s="1177"/>
      <c r="F101" s="1835"/>
      <c r="G101" s="1836"/>
      <c r="H101" s="2535" t="s">
        <v>109</v>
      </c>
      <c r="I101" s="2536"/>
      <c r="J101" s="2505"/>
      <c r="K101" s="2537"/>
      <c r="L101" s="2127"/>
      <c r="M101" s="2128"/>
      <c r="N101" s="2528"/>
      <c r="O101" s="2529"/>
      <c r="P101" s="2531"/>
      <c r="Q101" s="2665"/>
      <c r="R101" s="2533"/>
      <c r="S101" s="2534"/>
      <c r="T101" s="2533"/>
      <c r="U101" s="2533"/>
      <c r="V101" s="2533"/>
      <c r="W101" s="2533"/>
      <c r="X101" s="2533"/>
      <c r="Y101" s="2533"/>
      <c r="Z101" s="1834"/>
      <c r="AA101" s="1800">
        <v>1</v>
      </c>
      <c r="AB101" s="1186" t="s">
        <v>1094</v>
      </c>
      <c r="AC101" s="1176">
        <v>0</v>
      </c>
      <c r="AD101" s="1186" t="str">
        <f>AB101</f>
        <v>  Прочие собственные средства</v>
      </c>
      <c r="AE101" s="1176">
        <v>0</v>
      </c>
      <c r="AF101" s="2526"/>
      <c r="AG101" s="2527"/>
      <c r="AH101" s="2527"/>
      <c r="AI101" s="2668"/>
      <c r="AJ101" s="2527"/>
      <c r="AK101" s="2527"/>
      <c r="AL101" s="1992"/>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c r="BG101" s="1642"/>
    </row>
    <row customHeight="1" ht="11.25">
      <c r="A102" s="1173" t="s">
        <v>1044</v>
      </c>
      <c r="B102" s="1173"/>
      <c r="C102" s="1173"/>
      <c r="D102" s="1167"/>
      <c r="E102" s="1177"/>
      <c r="F102" s="1836"/>
      <c r="G102" s="1836"/>
      <c r="H102" s="1836"/>
      <c r="I102" s="1836"/>
      <c r="J102" s="1836"/>
      <c r="K102" s="1836"/>
      <c r="L102" s="1836"/>
      <c r="M102" s="1836"/>
      <c r="N102" s="1836"/>
      <c r="O102" s="1836"/>
      <c r="P102" s="1836"/>
      <c r="Q102" s="1836"/>
      <c r="R102" s="1836"/>
      <c r="S102" s="1836"/>
      <c r="T102" s="1836"/>
      <c r="U102" s="1836"/>
      <c r="V102" s="1836"/>
      <c r="W102" s="1836"/>
      <c r="X102" s="1836"/>
      <c r="Y102" s="1836"/>
      <c r="Z102" s="690" t="s">
        <v>576</v>
      </c>
      <c r="AA102" s="1820" t="s">
        <v>110</v>
      </c>
      <c r="AB102" s="1186" t="s">
        <v>1095</v>
      </c>
      <c r="AC102" s="1176">
        <v>990.06</v>
      </c>
      <c r="AD102" s="1186" t="str">
        <f>AB102</f>
        <v>     Прочие амортизационные отчисления</v>
      </c>
      <c r="AE102" s="1176">
        <v>0</v>
      </c>
      <c r="AF102" s="2093"/>
      <c r="AG102" s="1765"/>
      <c r="AH102" s="1765"/>
      <c r="AI102" s="2669"/>
      <c r="AJ102" s="1765"/>
      <c r="AK102" s="1991"/>
      <c r="AL102" s="1992"/>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c r="BG102" s="1642"/>
    </row>
    <row customHeight="1" ht="11.25">
      <c r="A103" s="1173" t="s">
        <v>1044</v>
      </c>
      <c r="B103" s="1173"/>
      <c r="C103" s="1173"/>
      <c r="D103" s="1167"/>
      <c r="E103" s="1177"/>
      <c r="F103" s="1835"/>
      <c r="G103" s="1836"/>
      <c r="H103" s="2535" t="s">
        <v>109</v>
      </c>
      <c r="I103" s="2536"/>
      <c r="J103" s="2505"/>
      <c r="K103" s="2537"/>
      <c r="L103" s="2127"/>
      <c r="M103" s="2128"/>
      <c r="N103" s="2528"/>
      <c r="O103" s="2529"/>
      <c r="P103" s="2532"/>
      <c r="Q103" s="2665"/>
      <c r="R103" s="2533"/>
      <c r="S103" s="2534"/>
      <c r="T103" s="2533"/>
      <c r="U103" s="2533"/>
      <c r="V103" s="2533"/>
      <c r="W103" s="2533"/>
      <c r="X103" s="2533"/>
      <c r="Y103" s="2533"/>
      <c r="Z103" s="1182"/>
      <c r="AA103" s="1183"/>
      <c r="AB103" s="1248" t="s">
        <v>1088</v>
      </c>
      <c r="AC103" s="1187"/>
      <c r="AD103" s="1187"/>
      <c r="AE103" s="1189"/>
      <c r="AF103" s="2526"/>
      <c r="AG103" s="2527"/>
      <c r="AH103" s="2527"/>
      <c r="AI103" s="2668"/>
      <c r="AJ103" s="2527"/>
      <c r="AK103" s="2527"/>
      <c r="AL103" s="1992"/>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c r="BG103" s="1642"/>
    </row>
    <row customHeight="1" ht="11.25">
      <c r="A104" s="1173" t="s">
        <v>1044</v>
      </c>
      <c r="B104" s="1173"/>
      <c r="C104" s="1173"/>
      <c r="D104" s="1167"/>
      <c r="E104" s="1177"/>
      <c r="F104" s="1835"/>
      <c r="G104" s="1836"/>
      <c r="H104" s="2535" t="s">
        <v>109</v>
      </c>
      <c r="I104" s="2536"/>
      <c r="J104" s="2505"/>
      <c r="K104" s="2537"/>
      <c r="L104" s="2127"/>
      <c r="M104" s="2128"/>
      <c r="N104" s="1182"/>
      <c r="O104" s="1183"/>
      <c r="P104" s="1175" t="s">
        <v>1089</v>
      </c>
      <c r="Q104" s="1183"/>
      <c r="R104" s="1183"/>
      <c r="S104" s="1183"/>
      <c r="T104" s="1183"/>
      <c r="U104" s="1183"/>
      <c r="V104" s="1183"/>
      <c r="W104" s="1183"/>
      <c r="X104" s="1183"/>
      <c r="Y104" s="1183"/>
      <c r="Z104" s="1183"/>
      <c r="AA104" s="1183"/>
      <c r="AB104" s="1183"/>
      <c r="AC104" s="1183"/>
      <c r="AD104" s="1183"/>
      <c r="AE104" s="1190"/>
      <c r="AF104" s="2526"/>
      <c r="AG104" s="2527"/>
      <c r="AH104" s="2527"/>
      <c r="AI104" s="2668"/>
      <c r="AJ104" s="2527"/>
      <c r="AK104" s="2527"/>
      <c r="AL104" s="1992"/>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c r="BG104" s="1642"/>
    </row>
    <row customHeight="1" ht="11.25">
      <c r="A105" s="1173" t="s">
        <v>1044</v>
      </c>
      <c r="B105" s="1173"/>
      <c r="C105" s="1173"/>
      <c r="D105" s="1167"/>
      <c r="E105" s="1177"/>
      <c r="F105" s="1835"/>
      <c r="G105" s="690" t="s">
        <v>576</v>
      </c>
      <c r="H105" s="2535" t="s">
        <v>89</v>
      </c>
      <c r="I105" s="2536"/>
      <c r="J105" s="2505"/>
      <c r="K105" s="2537" t="s">
        <v>1096</v>
      </c>
      <c r="L105" s="2127" t="s">
        <v>19</v>
      </c>
      <c r="M105" s="2128"/>
      <c r="N105" s="1990"/>
      <c r="O105" s="1184" t="s">
        <v>375</v>
      </c>
      <c r="P105" s="1185"/>
      <c r="Q105" s="1185"/>
      <c r="R105" s="1185"/>
      <c r="S105" s="1185"/>
      <c r="T105" s="1185"/>
      <c r="U105" s="1185"/>
      <c r="V105" s="1185"/>
      <c r="W105" s="1185"/>
      <c r="X105" s="1185"/>
      <c r="Y105" s="1185"/>
      <c r="Z105" s="1185"/>
      <c r="AA105" s="1185"/>
      <c r="AB105" s="1185"/>
      <c r="AC105" s="1185"/>
      <c r="AD105" s="1185"/>
      <c r="AE105" s="1185"/>
      <c r="AF105" s="2526">
        <v>2024</v>
      </c>
      <c r="AG105" s="2527" t="s">
        <v>1077</v>
      </c>
      <c r="AH105" s="2527" t="s">
        <v>1078</v>
      </c>
      <c r="AI105" s="2668"/>
      <c r="AJ105" s="2527" t="s">
        <v>1079</v>
      </c>
      <c r="AK105" s="2527" t="s">
        <v>1079</v>
      </c>
      <c r="AL105" s="1992"/>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c r="BG105" s="1642"/>
    </row>
    <row customHeight="1" ht="11.25">
      <c r="A106" s="1173" t="s">
        <v>1044</v>
      </c>
      <c r="B106" s="1173"/>
      <c r="C106" s="1173"/>
      <c r="D106" s="1167"/>
      <c r="E106" s="1177"/>
      <c r="F106" s="1835"/>
      <c r="G106" s="1836"/>
      <c r="H106" s="2535" t="s">
        <v>110</v>
      </c>
      <c r="I106" s="2536"/>
      <c r="J106" s="2505"/>
      <c r="K106" s="2537"/>
      <c r="L106" s="2127"/>
      <c r="M106" s="2128"/>
      <c r="N106" s="2528"/>
      <c r="O106" s="2529">
        <v>1</v>
      </c>
      <c r="P106" s="2530" t="s">
        <v>61</v>
      </c>
      <c r="Q106" s="2665" t="s">
        <v>1097</v>
      </c>
      <c r="R106" s="2666" t="s">
        <v>1098</v>
      </c>
      <c r="S106" s="2666" t="s">
        <v>99</v>
      </c>
      <c r="T106" s="2666" t="s">
        <v>100</v>
      </c>
      <c r="U106" s="2666" t="s">
        <v>101</v>
      </c>
      <c r="V106" s="2666" t="s">
        <v>1082</v>
      </c>
      <c r="W106" s="2666" t="s">
        <v>1083</v>
      </c>
      <c r="X106" s="2666" t="s">
        <v>1082</v>
      </c>
      <c r="Y106" s="2666" t="s">
        <v>1082</v>
      </c>
      <c r="Z106" s="1182"/>
      <c r="AA106" s="1183"/>
      <c r="AB106" s="1183"/>
      <c r="AC106" s="1187"/>
      <c r="AD106" s="1187"/>
      <c r="AE106" s="1188"/>
      <c r="AF106" s="2526"/>
      <c r="AG106" s="2527"/>
      <c r="AH106" s="2527"/>
      <c r="AI106" s="2668"/>
      <c r="AJ106" s="2527"/>
      <c r="AK106" s="2527"/>
      <c r="AL106" s="1992"/>
      <c r="AM106" s="1829"/>
      <c r="AN106" s="1829"/>
      <c r="AO106" s="1829"/>
      <c r="AP106" s="1829"/>
      <c r="AQ106" s="1829"/>
      <c r="AR106" s="1829"/>
      <c r="AS106" s="1829"/>
      <c r="AT106" s="1829"/>
      <c r="AU106" s="1829"/>
      <c r="AV106" s="1829"/>
      <c r="AW106" s="1829"/>
      <c r="AX106" s="1829"/>
      <c r="AY106" s="1829"/>
      <c r="AZ106" s="1829"/>
      <c r="BA106" s="1829"/>
      <c r="BB106" s="1829"/>
      <c r="BC106" s="1829"/>
      <c r="BD106" s="1829"/>
      <c r="BE106" s="1829"/>
      <c r="BF106" s="1829"/>
      <c r="BG106" s="1642"/>
    </row>
    <row customHeight="1" ht="11.25">
      <c r="A107" s="1173" t="s">
        <v>1044</v>
      </c>
      <c r="B107" s="1173"/>
      <c r="C107" s="1173"/>
      <c r="D107" s="1167"/>
      <c r="E107" s="1177"/>
      <c r="F107" s="1835"/>
      <c r="G107" s="1836"/>
      <c r="H107" s="2535" t="s">
        <v>110</v>
      </c>
      <c r="I107" s="2536"/>
      <c r="J107" s="2505"/>
      <c r="K107" s="2537"/>
      <c r="L107" s="2127"/>
      <c r="M107" s="2128"/>
      <c r="N107" s="2528"/>
      <c r="O107" s="2529"/>
      <c r="P107" s="2531"/>
      <c r="Q107" s="2665"/>
      <c r="R107" s="2533"/>
      <c r="S107" s="2534"/>
      <c r="T107" s="2533"/>
      <c r="U107" s="2533"/>
      <c r="V107" s="2533"/>
      <c r="W107" s="2533"/>
      <c r="X107" s="2533"/>
      <c r="Y107" s="2533"/>
      <c r="Z107" s="1834"/>
      <c r="AA107" s="1800">
        <v>1</v>
      </c>
      <c r="AB107" s="1186" t="s">
        <v>1094</v>
      </c>
      <c r="AC107" s="1176">
        <v>0</v>
      </c>
      <c r="AD107" s="1186" t="str">
        <f>AB107</f>
        <v>  Прочие собственные средства</v>
      </c>
      <c r="AE107" s="1176">
        <v>0</v>
      </c>
      <c r="AF107" s="2526"/>
      <c r="AG107" s="2527"/>
      <c r="AH107" s="2527"/>
      <c r="AI107" s="2668"/>
      <c r="AJ107" s="2527"/>
      <c r="AK107" s="2527"/>
      <c r="AL107" s="1992"/>
      <c r="AM107" s="1829"/>
      <c r="AN107" s="1829"/>
      <c r="AO107" s="1829"/>
      <c r="AP107" s="1829"/>
      <c r="AQ107" s="1829"/>
      <c r="AR107" s="1829"/>
      <c r="AS107" s="1829"/>
      <c r="AT107" s="1829"/>
      <c r="AU107" s="1829"/>
      <c r="AV107" s="1829"/>
      <c r="AW107" s="1829"/>
      <c r="AX107" s="1829"/>
      <c r="AY107" s="1829"/>
      <c r="AZ107" s="1829"/>
      <c r="BA107" s="1829"/>
      <c r="BB107" s="1829"/>
      <c r="BC107" s="1829"/>
      <c r="BD107" s="1829"/>
      <c r="BE107" s="1829"/>
      <c r="BF107" s="1829"/>
      <c r="BG107" s="1642"/>
    </row>
    <row customHeight="1" ht="11.25">
      <c r="A108" s="1173" t="s">
        <v>1044</v>
      </c>
      <c r="B108" s="1173"/>
      <c r="C108" s="1173"/>
      <c r="D108" s="1167"/>
      <c r="E108" s="1177"/>
      <c r="F108" s="1835"/>
      <c r="G108" s="1836"/>
      <c r="H108" s="2535" t="s">
        <v>110</v>
      </c>
      <c r="I108" s="2536"/>
      <c r="J108" s="2505"/>
      <c r="K108" s="2537"/>
      <c r="L108" s="2127"/>
      <c r="M108" s="2128"/>
      <c r="N108" s="2528"/>
      <c r="O108" s="2529"/>
      <c r="P108" s="2532"/>
      <c r="Q108" s="2665"/>
      <c r="R108" s="2533"/>
      <c r="S108" s="2534"/>
      <c r="T108" s="2533"/>
      <c r="U108" s="2533"/>
      <c r="V108" s="2533"/>
      <c r="W108" s="2533"/>
      <c r="X108" s="2533"/>
      <c r="Y108" s="2533"/>
      <c r="Z108" s="1182"/>
      <c r="AA108" s="1183"/>
      <c r="AB108" s="1248" t="s">
        <v>1088</v>
      </c>
      <c r="AC108" s="1187"/>
      <c r="AD108" s="1187"/>
      <c r="AE108" s="1189"/>
      <c r="AF108" s="2526"/>
      <c r="AG108" s="2527"/>
      <c r="AH108" s="2527"/>
      <c r="AI108" s="2668"/>
      <c r="AJ108" s="2527"/>
      <c r="AK108" s="2527"/>
      <c r="AL108" s="1992"/>
      <c r="AM108" s="1829"/>
      <c r="AN108" s="1829"/>
      <c r="AO108" s="1829"/>
      <c r="AP108" s="1829"/>
      <c r="AQ108" s="1829"/>
      <c r="AR108" s="1829"/>
      <c r="AS108" s="1829"/>
      <c r="AT108" s="1829"/>
      <c r="AU108" s="1829"/>
      <c r="AV108" s="1829"/>
      <c r="AW108" s="1829"/>
      <c r="AX108" s="1829"/>
      <c r="AY108" s="1829"/>
      <c r="AZ108" s="1829"/>
      <c r="BA108" s="1829"/>
      <c r="BB108" s="1829"/>
      <c r="BC108" s="1829"/>
      <c r="BD108" s="1829"/>
      <c r="BE108" s="1829"/>
      <c r="BF108" s="1829"/>
      <c r="BG108" s="1642"/>
    </row>
    <row customHeight="1" ht="11.25">
      <c r="A109" s="1173" t="s">
        <v>1044</v>
      </c>
      <c r="B109" s="1173"/>
      <c r="C109" s="1173"/>
      <c r="D109" s="1167"/>
      <c r="E109" s="1177"/>
      <c r="F109" s="1835"/>
      <c r="G109" s="1836"/>
      <c r="H109" s="2535" t="s">
        <v>110</v>
      </c>
      <c r="I109" s="2536"/>
      <c r="J109" s="2505"/>
      <c r="K109" s="2537"/>
      <c r="L109" s="2127"/>
      <c r="M109" s="2128"/>
      <c r="N109" s="1182"/>
      <c r="O109" s="1183"/>
      <c r="P109" s="1175" t="s">
        <v>1089</v>
      </c>
      <c r="Q109" s="1183"/>
      <c r="R109" s="1183"/>
      <c r="S109" s="1183"/>
      <c r="T109" s="1183"/>
      <c r="U109" s="1183"/>
      <c r="V109" s="1183"/>
      <c r="W109" s="1183"/>
      <c r="X109" s="1183"/>
      <c r="Y109" s="1183"/>
      <c r="Z109" s="1183"/>
      <c r="AA109" s="1183"/>
      <c r="AB109" s="1183"/>
      <c r="AC109" s="1183"/>
      <c r="AD109" s="1183"/>
      <c r="AE109" s="1190"/>
      <c r="AF109" s="2526"/>
      <c r="AG109" s="2527"/>
      <c r="AH109" s="2527"/>
      <c r="AI109" s="2668"/>
      <c r="AJ109" s="2527"/>
      <c r="AK109" s="2527"/>
      <c r="AL109" s="1992"/>
      <c r="AM109" s="1829"/>
      <c r="AN109" s="1829"/>
      <c r="AO109" s="1829"/>
      <c r="AP109" s="1829"/>
      <c r="AQ109" s="1829"/>
      <c r="AR109" s="1829"/>
      <c r="AS109" s="1829"/>
      <c r="AT109" s="1829"/>
      <c r="AU109" s="1829"/>
      <c r="AV109" s="1829"/>
      <c r="AW109" s="1829"/>
      <c r="AX109" s="1829"/>
      <c r="AY109" s="1829"/>
      <c r="AZ109" s="1829"/>
      <c r="BA109" s="1829"/>
      <c r="BB109" s="1829"/>
      <c r="BC109" s="1829"/>
      <c r="BD109" s="1829"/>
      <c r="BE109" s="1829"/>
      <c r="BF109" s="1829"/>
      <c r="BG109" s="1642"/>
    </row>
    <row customHeight="1" ht="11.25">
      <c r="A110" s="1173" t="s">
        <v>1044</v>
      </c>
      <c r="B110" s="1173"/>
      <c r="C110" s="1173"/>
      <c r="D110" s="1167"/>
      <c r="E110" s="1177"/>
      <c r="F110" s="1835"/>
      <c r="G110" s="690" t="s">
        <v>576</v>
      </c>
      <c r="H110" s="2535" t="s">
        <v>90</v>
      </c>
      <c r="I110" s="2536"/>
      <c r="J110" s="2505"/>
      <c r="K110" s="2537" t="s">
        <v>1105</v>
      </c>
      <c r="L110" s="2127" t="s">
        <v>19</v>
      </c>
      <c r="M110" s="2128"/>
      <c r="N110" s="1990"/>
      <c r="O110" s="1184" t="s">
        <v>375</v>
      </c>
      <c r="P110" s="1185"/>
      <c r="Q110" s="1185"/>
      <c r="R110" s="1185"/>
      <c r="S110" s="1185"/>
      <c r="T110" s="1185"/>
      <c r="U110" s="1185"/>
      <c r="V110" s="1185"/>
      <c r="W110" s="1185"/>
      <c r="X110" s="1185"/>
      <c r="Y110" s="1185"/>
      <c r="Z110" s="1185"/>
      <c r="AA110" s="1185"/>
      <c r="AB110" s="1185"/>
      <c r="AC110" s="1185"/>
      <c r="AD110" s="1185"/>
      <c r="AE110" s="1185"/>
      <c r="AF110" s="2526">
        <v>2024</v>
      </c>
      <c r="AG110" s="2527" t="s">
        <v>1077</v>
      </c>
      <c r="AH110" s="2527" t="s">
        <v>1078</v>
      </c>
      <c r="AI110" s="2526">
        <v>2024</v>
      </c>
      <c r="AJ110" s="2527" t="s">
        <v>1100</v>
      </c>
      <c r="AK110" s="2527" t="s">
        <v>1078</v>
      </c>
      <c r="AL110" s="1992"/>
      <c r="AM110" s="1829"/>
      <c r="AN110" s="1829"/>
      <c r="AO110" s="1829"/>
      <c r="AP110" s="1829"/>
      <c r="AQ110" s="1829"/>
      <c r="AR110" s="1829"/>
      <c r="AS110" s="1829"/>
      <c r="AT110" s="1829"/>
      <c r="AU110" s="1829"/>
      <c r="AV110" s="1829"/>
      <c r="AW110" s="1829"/>
      <c r="AX110" s="1829"/>
      <c r="AY110" s="1829"/>
      <c r="AZ110" s="1829"/>
      <c r="BA110" s="1829"/>
      <c r="BB110" s="1829"/>
      <c r="BC110" s="1829"/>
      <c r="BD110" s="1829"/>
      <c r="BE110" s="1829"/>
      <c r="BF110" s="1829"/>
      <c r="BG110" s="1642"/>
    </row>
    <row customHeight="1" ht="11.25">
      <c r="A111" s="1173" t="s">
        <v>1044</v>
      </c>
      <c r="B111" s="1173"/>
      <c r="C111" s="1173"/>
      <c r="D111" s="1167"/>
      <c r="E111" s="1177"/>
      <c r="F111" s="1835"/>
      <c r="G111" s="1836"/>
      <c r="H111" s="2535" t="s">
        <v>89</v>
      </c>
      <c r="I111" s="2536"/>
      <c r="J111" s="2505"/>
      <c r="K111" s="2537"/>
      <c r="L111" s="2127"/>
      <c r="M111" s="2128"/>
      <c r="N111" s="2528"/>
      <c r="O111" s="2529">
        <v>1</v>
      </c>
      <c r="P111" s="2530" t="s">
        <v>61</v>
      </c>
      <c r="Q111" s="2665" t="s">
        <v>1097</v>
      </c>
      <c r="R111" s="2666" t="s">
        <v>1098</v>
      </c>
      <c r="S111" s="2666" t="s">
        <v>99</v>
      </c>
      <c r="T111" s="2666" t="s">
        <v>100</v>
      </c>
      <c r="U111" s="2666" t="s">
        <v>101</v>
      </c>
      <c r="V111" s="2666" t="s">
        <v>1082</v>
      </c>
      <c r="W111" s="2666" t="s">
        <v>1083</v>
      </c>
      <c r="X111" s="2666" t="s">
        <v>1082</v>
      </c>
      <c r="Y111" s="2666" t="s">
        <v>1082</v>
      </c>
      <c r="Z111" s="1182"/>
      <c r="AA111" s="1183"/>
      <c r="AB111" s="1183"/>
      <c r="AC111" s="1187"/>
      <c r="AD111" s="1187"/>
      <c r="AE111" s="1188"/>
      <c r="AF111" s="2526"/>
      <c r="AG111" s="2527"/>
      <c r="AH111" s="2527"/>
      <c r="AI111" s="2526"/>
      <c r="AJ111" s="2527"/>
      <c r="AK111" s="2527"/>
      <c r="AL111" s="1992"/>
      <c r="AM111" s="1829"/>
      <c r="AN111" s="1829"/>
      <c r="AO111" s="1829"/>
      <c r="AP111" s="1829"/>
      <c r="AQ111" s="1829"/>
      <c r="AR111" s="1829"/>
      <c r="AS111" s="1829"/>
      <c r="AT111" s="1829"/>
      <c r="AU111" s="1829"/>
      <c r="AV111" s="1829"/>
      <c r="AW111" s="1829"/>
      <c r="AX111" s="1829"/>
      <c r="AY111" s="1829"/>
      <c r="AZ111" s="1829"/>
      <c r="BA111" s="1829"/>
      <c r="BB111" s="1829"/>
      <c r="BC111" s="1829"/>
      <c r="BD111" s="1829"/>
      <c r="BE111" s="1829"/>
      <c r="BF111" s="1829"/>
      <c r="BG111" s="1642"/>
    </row>
    <row customHeight="1" ht="11.25">
      <c r="A112" s="1173" t="s">
        <v>1044</v>
      </c>
      <c r="B112" s="1173"/>
      <c r="C112" s="1173"/>
      <c r="D112" s="1167"/>
      <c r="E112" s="1177"/>
      <c r="F112" s="1835"/>
      <c r="G112" s="1836"/>
      <c r="H112" s="2535" t="s">
        <v>89</v>
      </c>
      <c r="I112" s="2536"/>
      <c r="J112" s="2505"/>
      <c r="K112" s="2537"/>
      <c r="L112" s="2127"/>
      <c r="M112" s="2128"/>
      <c r="N112" s="2528"/>
      <c r="O112" s="2529"/>
      <c r="P112" s="2531"/>
      <c r="Q112" s="2665"/>
      <c r="R112" s="2533"/>
      <c r="S112" s="2534"/>
      <c r="T112" s="2533"/>
      <c r="U112" s="2533"/>
      <c r="V112" s="2533"/>
      <c r="W112" s="2533"/>
      <c r="X112" s="2533"/>
      <c r="Y112" s="2533"/>
      <c r="Z112" s="1834"/>
      <c r="AA112" s="1800">
        <v>1</v>
      </c>
      <c r="AB112" s="1186" t="s">
        <v>1086</v>
      </c>
      <c r="AC112" s="1176">
        <v>0</v>
      </c>
      <c r="AD112" s="1186" t="str">
        <f>AB112</f>
        <v>  Бюджет субъекта РФ</v>
      </c>
      <c r="AE112" s="1176">
        <v>0</v>
      </c>
      <c r="AF112" s="2526"/>
      <c r="AG112" s="2527"/>
      <c r="AH112" s="2527"/>
      <c r="AI112" s="2526"/>
      <c r="AJ112" s="2527"/>
      <c r="AK112" s="2527"/>
      <c r="AL112" s="1992"/>
      <c r="AM112" s="1829"/>
      <c r="AN112" s="1829"/>
      <c r="AO112" s="1829"/>
      <c r="AP112" s="1829"/>
      <c r="AQ112" s="1829"/>
      <c r="AR112" s="1829"/>
      <c r="AS112" s="1829"/>
      <c r="AT112" s="1829"/>
      <c r="AU112" s="1829"/>
      <c r="AV112" s="1829"/>
      <c r="AW112" s="1829"/>
      <c r="AX112" s="1829"/>
      <c r="AY112" s="1829"/>
      <c r="AZ112" s="1829"/>
      <c r="BA112" s="1829"/>
      <c r="BB112" s="1829"/>
      <c r="BC112" s="1829"/>
      <c r="BD112" s="1829"/>
      <c r="BE112" s="1829"/>
      <c r="BF112" s="1829"/>
      <c r="BG112" s="1642"/>
    </row>
    <row customHeight="1" ht="11.25">
      <c r="A113" s="1173" t="s">
        <v>1044</v>
      </c>
      <c r="B113" s="1173"/>
      <c r="C113" s="1173"/>
      <c r="D113" s="1167"/>
      <c r="E113" s="1177"/>
      <c r="F113" s="1836"/>
      <c r="G113" s="1836"/>
      <c r="H113" s="1836"/>
      <c r="I113" s="1836"/>
      <c r="J113" s="1836"/>
      <c r="K113" s="1836"/>
      <c r="L113" s="1836"/>
      <c r="M113" s="1836"/>
      <c r="N113" s="1836"/>
      <c r="O113" s="1836"/>
      <c r="P113" s="1836"/>
      <c r="Q113" s="1836"/>
      <c r="R113" s="1836"/>
      <c r="S113" s="1836"/>
      <c r="T113" s="1836"/>
      <c r="U113" s="1836"/>
      <c r="V113" s="1836"/>
      <c r="W113" s="1836"/>
      <c r="X113" s="1836"/>
      <c r="Y113" s="1836"/>
      <c r="Z113" s="690" t="s">
        <v>576</v>
      </c>
      <c r="AA113" s="1820" t="s">
        <v>110</v>
      </c>
      <c r="AB113" s="1186" t="s">
        <v>1087</v>
      </c>
      <c r="AC113" s="1176">
        <v>0</v>
      </c>
      <c r="AD113" s="1186" t="str">
        <f>AB113</f>
        <v>  Бюджет муниципального образования</v>
      </c>
      <c r="AE113" s="1176">
        <v>0</v>
      </c>
      <c r="AF113" s="2093"/>
      <c r="AG113" s="1765"/>
      <c r="AH113" s="1765"/>
      <c r="AI113" s="2093"/>
      <c r="AJ113" s="1765"/>
      <c r="AK113" s="1991"/>
      <c r="AL113" s="1992"/>
      <c r="AM113" s="1829"/>
      <c r="AN113" s="1829"/>
      <c r="AO113" s="1829"/>
      <c r="AP113" s="1829"/>
      <c r="AQ113" s="1829"/>
      <c r="AR113" s="1829"/>
      <c r="AS113" s="1829"/>
      <c r="AT113" s="1829"/>
      <c r="AU113" s="1829"/>
      <c r="AV113" s="1829"/>
      <c r="AW113" s="1829"/>
      <c r="AX113" s="1829"/>
      <c r="AY113" s="1829"/>
      <c r="AZ113" s="1829"/>
      <c r="BA113" s="1829"/>
      <c r="BB113" s="1829"/>
      <c r="BC113" s="1829"/>
      <c r="BD113" s="1829"/>
      <c r="BE113" s="1829"/>
      <c r="BF113" s="1829"/>
      <c r="BG113" s="1642"/>
    </row>
    <row customHeight="1" ht="11.25">
      <c r="A114" s="1173" t="s">
        <v>1044</v>
      </c>
      <c r="B114" s="1173"/>
      <c r="C114" s="1173"/>
      <c r="D114" s="1167"/>
      <c r="E114" s="1177"/>
      <c r="F114" s="1835"/>
      <c r="G114" s="1836"/>
      <c r="H114" s="2535" t="s">
        <v>89</v>
      </c>
      <c r="I114" s="2536"/>
      <c r="J114" s="2505"/>
      <c r="K114" s="2537"/>
      <c r="L114" s="2127"/>
      <c r="M114" s="2128"/>
      <c r="N114" s="2528"/>
      <c r="O114" s="2529"/>
      <c r="P114" s="2532"/>
      <c r="Q114" s="2665"/>
      <c r="R114" s="2533"/>
      <c r="S114" s="2534"/>
      <c r="T114" s="2533"/>
      <c r="U114" s="2533"/>
      <c r="V114" s="2533"/>
      <c r="W114" s="2533"/>
      <c r="X114" s="2533"/>
      <c r="Y114" s="2533"/>
      <c r="Z114" s="1182"/>
      <c r="AA114" s="1183"/>
      <c r="AB114" s="1248" t="s">
        <v>1088</v>
      </c>
      <c r="AC114" s="1187"/>
      <c r="AD114" s="1187"/>
      <c r="AE114" s="1189"/>
      <c r="AF114" s="2526"/>
      <c r="AG114" s="2527"/>
      <c r="AH114" s="2527"/>
      <c r="AI114" s="2526"/>
      <c r="AJ114" s="2527"/>
      <c r="AK114" s="2527"/>
      <c r="AL114" s="1992"/>
      <c r="AM114" s="1829"/>
      <c r="AN114" s="1829"/>
      <c r="AO114" s="1829"/>
      <c r="AP114" s="1829"/>
      <c r="AQ114" s="1829"/>
      <c r="AR114" s="1829"/>
      <c r="AS114" s="1829"/>
      <c r="AT114" s="1829"/>
      <c r="AU114" s="1829"/>
      <c r="AV114" s="1829"/>
      <c r="AW114" s="1829"/>
      <c r="AX114" s="1829"/>
      <c r="AY114" s="1829"/>
      <c r="AZ114" s="1829"/>
      <c r="BA114" s="1829"/>
      <c r="BB114" s="1829"/>
      <c r="BC114" s="1829"/>
      <c r="BD114" s="1829"/>
      <c r="BE114" s="1829"/>
      <c r="BF114" s="1829"/>
      <c r="BG114" s="1642"/>
    </row>
    <row customHeight="1" ht="11.25">
      <c r="A115" s="1173" t="s">
        <v>1044</v>
      </c>
      <c r="B115" s="1173"/>
      <c r="C115" s="1173"/>
      <c r="D115" s="1167"/>
      <c r="E115" s="1177"/>
      <c r="F115" s="1835"/>
      <c r="G115" s="1836"/>
      <c r="H115" s="2535" t="s">
        <v>89</v>
      </c>
      <c r="I115" s="2536"/>
      <c r="J115" s="2505"/>
      <c r="K115" s="2537"/>
      <c r="L115" s="2127"/>
      <c r="M115" s="2128"/>
      <c r="N115" s="1182"/>
      <c r="O115" s="1183"/>
      <c r="P115" s="1175" t="s">
        <v>1089</v>
      </c>
      <c r="Q115" s="1183"/>
      <c r="R115" s="1183"/>
      <c r="S115" s="1183"/>
      <c r="T115" s="1183"/>
      <c r="U115" s="1183"/>
      <c r="V115" s="1183"/>
      <c r="W115" s="1183"/>
      <c r="X115" s="1183"/>
      <c r="Y115" s="1183"/>
      <c r="Z115" s="1183"/>
      <c r="AA115" s="1183"/>
      <c r="AB115" s="1183"/>
      <c r="AC115" s="1183"/>
      <c r="AD115" s="1183"/>
      <c r="AE115" s="1190"/>
      <c r="AF115" s="2526"/>
      <c r="AG115" s="2527"/>
      <c r="AH115" s="2527"/>
      <c r="AI115" s="2526"/>
      <c r="AJ115" s="2527"/>
      <c r="AK115" s="2527"/>
      <c r="AL115" s="1992"/>
      <c r="AM115" s="1829"/>
      <c r="AN115" s="1829"/>
      <c r="AO115" s="1829"/>
      <c r="AP115" s="1829"/>
      <c r="AQ115" s="1829"/>
      <c r="AR115" s="1829"/>
      <c r="AS115" s="1829"/>
      <c r="AT115" s="1829"/>
      <c r="AU115" s="1829"/>
      <c r="AV115" s="1829"/>
      <c r="AW115" s="1829"/>
      <c r="AX115" s="1829"/>
      <c r="AY115" s="1829"/>
      <c r="AZ115" s="1829"/>
      <c r="BA115" s="1829"/>
      <c r="BB115" s="1829"/>
      <c r="BC115" s="1829"/>
      <c r="BD115" s="1829"/>
      <c r="BE115" s="1829"/>
      <c r="BF115" s="1829"/>
      <c r="BG115" s="1642"/>
    </row>
    <row customHeight="1" ht="11.25">
      <c r="A116" s="1173" t="s">
        <v>1044</v>
      </c>
      <c r="B116" s="1173"/>
      <c r="C116" s="1173"/>
      <c r="D116" s="1167"/>
      <c r="E116" s="1177"/>
      <c r="F116" s="1835"/>
      <c r="G116" s="690" t="s">
        <v>576</v>
      </c>
      <c r="H116" s="2535" t="s">
        <v>111</v>
      </c>
      <c r="I116" s="2536"/>
      <c r="J116" s="2505"/>
      <c r="K116" s="2537" t="s">
        <v>1106</v>
      </c>
      <c r="L116" s="2127" t="s">
        <v>19</v>
      </c>
      <c r="M116" s="2128"/>
      <c r="N116" s="1990"/>
      <c r="O116" s="1184" t="s">
        <v>375</v>
      </c>
      <c r="P116" s="1185"/>
      <c r="Q116" s="1185"/>
      <c r="R116" s="1185"/>
      <c r="S116" s="1185"/>
      <c r="T116" s="1185"/>
      <c r="U116" s="1185"/>
      <c r="V116" s="1185"/>
      <c r="W116" s="1185"/>
      <c r="X116" s="1185"/>
      <c r="Y116" s="1185"/>
      <c r="Z116" s="1185"/>
      <c r="AA116" s="1185"/>
      <c r="AB116" s="1185"/>
      <c r="AC116" s="1185"/>
      <c r="AD116" s="1185"/>
      <c r="AE116" s="1185"/>
      <c r="AF116" s="2526">
        <v>2024</v>
      </c>
      <c r="AG116" s="2527" t="s">
        <v>1077</v>
      </c>
      <c r="AH116" s="2527" t="s">
        <v>1078</v>
      </c>
      <c r="AI116" s="2526">
        <v>2024</v>
      </c>
      <c r="AJ116" s="2527" t="s">
        <v>1100</v>
      </c>
      <c r="AK116" s="2527" t="s">
        <v>1078</v>
      </c>
      <c r="AL116" s="1992"/>
      <c r="AM116" s="1829"/>
      <c r="AN116" s="1829"/>
      <c r="AO116" s="1829"/>
      <c r="AP116" s="1829"/>
      <c r="AQ116" s="1829"/>
      <c r="AR116" s="1829"/>
      <c r="AS116" s="1829"/>
      <c r="AT116" s="1829"/>
      <c r="AU116" s="1829"/>
      <c r="AV116" s="1829"/>
      <c r="AW116" s="1829"/>
      <c r="AX116" s="1829"/>
      <c r="AY116" s="1829"/>
      <c r="AZ116" s="1829"/>
      <c r="BA116" s="1829"/>
      <c r="BB116" s="1829"/>
      <c r="BC116" s="1829"/>
      <c r="BD116" s="1829"/>
      <c r="BE116" s="1829"/>
      <c r="BF116" s="1829"/>
      <c r="BG116" s="1642"/>
    </row>
    <row customHeight="1" ht="11.25">
      <c r="A117" s="1173" t="s">
        <v>1044</v>
      </c>
      <c r="B117" s="1173"/>
      <c r="C117" s="1173"/>
      <c r="D117" s="1167"/>
      <c r="E117" s="1177"/>
      <c r="F117" s="1835"/>
      <c r="G117" s="1836"/>
      <c r="H117" s="2535" t="s">
        <v>90</v>
      </c>
      <c r="I117" s="2536"/>
      <c r="J117" s="2505"/>
      <c r="K117" s="2537"/>
      <c r="L117" s="2127"/>
      <c r="M117" s="2128"/>
      <c r="N117" s="2528"/>
      <c r="O117" s="2529">
        <v>1</v>
      </c>
      <c r="P117" s="2530" t="s">
        <v>61</v>
      </c>
      <c r="Q117" s="2665" t="s">
        <v>1097</v>
      </c>
      <c r="R117" s="2666" t="s">
        <v>1098</v>
      </c>
      <c r="S117" s="2666" t="s">
        <v>99</v>
      </c>
      <c r="T117" s="2666" t="s">
        <v>100</v>
      </c>
      <c r="U117" s="2666" t="s">
        <v>101</v>
      </c>
      <c r="V117" s="2666" t="s">
        <v>1082</v>
      </c>
      <c r="W117" s="2666" t="s">
        <v>1083</v>
      </c>
      <c r="X117" s="2666" t="s">
        <v>1082</v>
      </c>
      <c r="Y117" s="2666" t="s">
        <v>1082</v>
      </c>
      <c r="Z117" s="1182"/>
      <c r="AA117" s="1183"/>
      <c r="AB117" s="1183"/>
      <c r="AC117" s="1187"/>
      <c r="AD117" s="1187"/>
      <c r="AE117" s="1188"/>
      <c r="AF117" s="2526"/>
      <c r="AG117" s="2527"/>
      <c r="AH117" s="2527"/>
      <c r="AI117" s="2526"/>
      <c r="AJ117" s="2527"/>
      <c r="AK117" s="2527"/>
      <c r="AL117" s="1992"/>
      <c r="AM117" s="1829"/>
      <c r="AN117" s="1829"/>
      <c r="AO117" s="1829"/>
      <c r="AP117" s="1829"/>
      <c r="AQ117" s="1829"/>
      <c r="AR117" s="1829"/>
      <c r="AS117" s="1829"/>
      <c r="AT117" s="1829"/>
      <c r="AU117" s="1829"/>
      <c r="AV117" s="1829"/>
      <c r="AW117" s="1829"/>
      <c r="AX117" s="1829"/>
      <c r="AY117" s="1829"/>
      <c r="AZ117" s="1829"/>
      <c r="BA117" s="1829"/>
      <c r="BB117" s="1829"/>
      <c r="BC117" s="1829"/>
      <c r="BD117" s="1829"/>
      <c r="BE117" s="1829"/>
      <c r="BF117" s="1829"/>
      <c r="BG117" s="1642"/>
    </row>
    <row customHeight="1" ht="11.25">
      <c r="A118" s="1173" t="s">
        <v>1044</v>
      </c>
      <c r="B118" s="1173"/>
      <c r="C118" s="1173"/>
      <c r="D118" s="1167"/>
      <c r="E118" s="1177"/>
      <c r="F118" s="1835"/>
      <c r="G118" s="1836"/>
      <c r="H118" s="2535" t="s">
        <v>90</v>
      </c>
      <c r="I118" s="2536"/>
      <c r="J118" s="2505"/>
      <c r="K118" s="2537"/>
      <c r="L118" s="2127"/>
      <c r="M118" s="2128"/>
      <c r="N118" s="2528"/>
      <c r="O118" s="2529"/>
      <c r="P118" s="2531"/>
      <c r="Q118" s="2665"/>
      <c r="R118" s="2533"/>
      <c r="S118" s="2534"/>
      <c r="T118" s="2533"/>
      <c r="U118" s="2533"/>
      <c r="V118" s="2533"/>
      <c r="W118" s="2533"/>
      <c r="X118" s="2533"/>
      <c r="Y118" s="2533"/>
      <c r="Z118" s="1834"/>
      <c r="AA118" s="1800">
        <v>1</v>
      </c>
      <c r="AB118" s="1186" t="s">
        <v>1086</v>
      </c>
      <c r="AC118" s="1176">
        <v>0</v>
      </c>
      <c r="AD118" s="1186" t="str">
        <f>AB118</f>
        <v>  Бюджет субъекта РФ</v>
      </c>
      <c r="AE118" s="1176">
        <v>0</v>
      </c>
      <c r="AF118" s="2526"/>
      <c r="AG118" s="2527"/>
      <c r="AH118" s="2527"/>
      <c r="AI118" s="2526"/>
      <c r="AJ118" s="2527"/>
      <c r="AK118" s="2527"/>
      <c r="AL118" s="1992"/>
      <c r="AM118" s="1829"/>
      <c r="AN118" s="1829"/>
      <c r="AO118" s="1829"/>
      <c r="AP118" s="1829"/>
      <c r="AQ118" s="1829"/>
      <c r="AR118" s="1829"/>
      <c r="AS118" s="1829"/>
      <c r="AT118" s="1829"/>
      <c r="AU118" s="1829"/>
      <c r="AV118" s="1829"/>
      <c r="AW118" s="1829"/>
      <c r="AX118" s="1829"/>
      <c r="AY118" s="1829"/>
      <c r="AZ118" s="1829"/>
      <c r="BA118" s="1829"/>
      <c r="BB118" s="1829"/>
      <c r="BC118" s="1829"/>
      <c r="BD118" s="1829"/>
      <c r="BE118" s="1829"/>
      <c r="BF118" s="1829"/>
      <c r="BG118" s="1642"/>
    </row>
    <row customHeight="1" ht="11.25">
      <c r="A119" s="1173" t="s">
        <v>1044</v>
      </c>
      <c r="B119" s="1173"/>
      <c r="C119" s="1173"/>
      <c r="D119" s="1167"/>
      <c r="E119" s="1177"/>
      <c r="F119" s="1836"/>
      <c r="G119" s="1836"/>
      <c r="H119" s="1836"/>
      <c r="I119" s="1836"/>
      <c r="J119" s="1836"/>
      <c r="K119" s="1836"/>
      <c r="L119" s="1836"/>
      <c r="M119" s="1836"/>
      <c r="N119" s="1836"/>
      <c r="O119" s="1836"/>
      <c r="P119" s="1836"/>
      <c r="Q119" s="1836"/>
      <c r="R119" s="1836"/>
      <c r="S119" s="1836"/>
      <c r="T119" s="1836"/>
      <c r="U119" s="1836"/>
      <c r="V119" s="1836"/>
      <c r="W119" s="1836"/>
      <c r="X119" s="1836"/>
      <c r="Y119" s="1836"/>
      <c r="Z119" s="690" t="s">
        <v>576</v>
      </c>
      <c r="AA119" s="1820" t="s">
        <v>110</v>
      </c>
      <c r="AB119" s="1186" t="s">
        <v>1087</v>
      </c>
      <c r="AC119" s="1176">
        <v>0</v>
      </c>
      <c r="AD119" s="1186" t="str">
        <f>AB119</f>
        <v>  Бюджет муниципального образования</v>
      </c>
      <c r="AE119" s="1176">
        <v>0</v>
      </c>
      <c r="AF119" s="2093"/>
      <c r="AG119" s="1765"/>
      <c r="AH119" s="1765"/>
      <c r="AI119" s="2093"/>
      <c r="AJ119" s="1765"/>
      <c r="AK119" s="1991"/>
      <c r="AL119" s="1992"/>
      <c r="AM119" s="1829"/>
      <c r="AN119" s="1829"/>
      <c r="AO119" s="1829"/>
      <c r="AP119" s="1829"/>
      <c r="AQ119" s="1829"/>
      <c r="AR119" s="1829"/>
      <c r="AS119" s="1829"/>
      <c r="AT119" s="1829"/>
      <c r="AU119" s="1829"/>
      <c r="AV119" s="1829"/>
      <c r="AW119" s="1829"/>
      <c r="AX119" s="1829"/>
      <c r="AY119" s="1829"/>
      <c r="AZ119" s="1829"/>
      <c r="BA119" s="1829"/>
      <c r="BB119" s="1829"/>
      <c r="BC119" s="1829"/>
      <c r="BD119" s="1829"/>
      <c r="BE119" s="1829"/>
      <c r="BF119" s="1829"/>
      <c r="BG119" s="1642"/>
    </row>
    <row customHeight="1" ht="11.25">
      <c r="A120" s="1173" t="s">
        <v>1044</v>
      </c>
      <c r="B120" s="1173"/>
      <c r="C120" s="1173"/>
      <c r="D120" s="1167"/>
      <c r="E120" s="1177"/>
      <c r="F120" s="1835"/>
      <c r="G120" s="1836"/>
      <c r="H120" s="2535" t="s">
        <v>90</v>
      </c>
      <c r="I120" s="2536"/>
      <c r="J120" s="2505"/>
      <c r="K120" s="2537"/>
      <c r="L120" s="2127"/>
      <c r="M120" s="2128"/>
      <c r="N120" s="2528"/>
      <c r="O120" s="2529"/>
      <c r="P120" s="2532"/>
      <c r="Q120" s="2665"/>
      <c r="R120" s="2533"/>
      <c r="S120" s="2534"/>
      <c r="T120" s="2533"/>
      <c r="U120" s="2533"/>
      <c r="V120" s="2533"/>
      <c r="W120" s="2533"/>
      <c r="X120" s="2533"/>
      <c r="Y120" s="2533"/>
      <c r="Z120" s="1182"/>
      <c r="AA120" s="1183"/>
      <c r="AB120" s="1248" t="s">
        <v>1088</v>
      </c>
      <c r="AC120" s="1187"/>
      <c r="AD120" s="1187"/>
      <c r="AE120" s="1189"/>
      <c r="AF120" s="2526"/>
      <c r="AG120" s="2527"/>
      <c r="AH120" s="2527"/>
      <c r="AI120" s="2526"/>
      <c r="AJ120" s="2527"/>
      <c r="AK120" s="2527"/>
      <c r="AL120" s="1992"/>
      <c r="AM120" s="1829"/>
      <c r="AN120" s="1829"/>
      <c r="AO120" s="1829"/>
      <c r="AP120" s="1829"/>
      <c r="AQ120" s="1829"/>
      <c r="AR120" s="1829"/>
      <c r="AS120" s="1829"/>
      <c r="AT120" s="1829"/>
      <c r="AU120" s="1829"/>
      <c r="AV120" s="1829"/>
      <c r="AW120" s="1829"/>
      <c r="AX120" s="1829"/>
      <c r="AY120" s="1829"/>
      <c r="AZ120" s="1829"/>
      <c r="BA120" s="1829"/>
      <c r="BB120" s="1829"/>
      <c r="BC120" s="1829"/>
      <c r="BD120" s="1829"/>
      <c r="BE120" s="1829"/>
      <c r="BF120" s="1829"/>
      <c r="BG120" s="1642"/>
    </row>
    <row customHeight="1" ht="11.25">
      <c r="A121" s="1173" t="s">
        <v>1044</v>
      </c>
      <c r="B121" s="1173"/>
      <c r="C121" s="1173"/>
      <c r="D121" s="1167"/>
      <c r="E121" s="1177"/>
      <c r="F121" s="1835"/>
      <c r="G121" s="1836"/>
      <c r="H121" s="2535" t="s">
        <v>90</v>
      </c>
      <c r="I121" s="2536"/>
      <c r="J121" s="2505"/>
      <c r="K121" s="2537"/>
      <c r="L121" s="2127"/>
      <c r="M121" s="2128"/>
      <c r="N121" s="1182"/>
      <c r="O121" s="1183"/>
      <c r="P121" s="1175" t="s">
        <v>1089</v>
      </c>
      <c r="Q121" s="1183"/>
      <c r="R121" s="1183"/>
      <c r="S121" s="1183"/>
      <c r="T121" s="1183"/>
      <c r="U121" s="1183"/>
      <c r="V121" s="1183"/>
      <c r="W121" s="1183"/>
      <c r="X121" s="1183"/>
      <c r="Y121" s="1183"/>
      <c r="Z121" s="1183"/>
      <c r="AA121" s="1183"/>
      <c r="AB121" s="1183"/>
      <c r="AC121" s="1183"/>
      <c r="AD121" s="1183"/>
      <c r="AE121" s="1190"/>
      <c r="AF121" s="2526"/>
      <c r="AG121" s="2527"/>
      <c r="AH121" s="2527"/>
      <c r="AI121" s="2526"/>
      <c r="AJ121" s="2527"/>
      <c r="AK121" s="2527"/>
      <c r="AL121" s="1992"/>
      <c r="AM121" s="1829"/>
      <c r="AN121" s="1829"/>
      <c r="AO121" s="1829"/>
      <c r="AP121" s="1829"/>
      <c r="AQ121" s="1829"/>
      <c r="AR121" s="1829"/>
      <c r="AS121" s="1829"/>
      <c r="AT121" s="1829"/>
      <c r="AU121" s="1829"/>
      <c r="AV121" s="1829"/>
      <c r="AW121" s="1829"/>
      <c r="AX121" s="1829"/>
      <c r="AY121" s="1829"/>
      <c r="AZ121" s="1829"/>
      <c r="BA121" s="1829"/>
      <c r="BB121" s="1829"/>
      <c r="BC121" s="1829"/>
      <c r="BD121" s="1829"/>
      <c r="BE121" s="1829"/>
      <c r="BF121" s="1829"/>
      <c r="BG121" s="1642"/>
    </row>
    <row customHeight="1" ht="12">
      <c r="A122" s="1173" t="s">
        <v>1044</v>
      </c>
      <c r="B122" s="1173"/>
      <c r="C122" s="1173"/>
      <c r="D122" s="1167"/>
      <c r="E122" s="1177"/>
      <c r="F122" s="2557"/>
      <c r="G122" s="1197"/>
      <c r="H122" s="1197"/>
      <c r="I122" s="2555" t="s">
        <v>1102</v>
      </c>
      <c r="J122" s="2555"/>
      <c r="K122" s="2555"/>
      <c r="L122" s="1180"/>
      <c r="M122" s="1180"/>
      <c r="N122" s="1181"/>
      <c r="O122" s="1181"/>
      <c r="P122" s="1181"/>
      <c r="Q122" s="1181"/>
      <c r="R122" s="1181"/>
      <c r="S122" s="1181"/>
      <c r="T122" s="1181"/>
      <c r="U122" s="1181"/>
      <c r="V122" s="1181"/>
      <c r="W122" s="1181"/>
      <c r="X122" s="1181"/>
      <c r="Y122" s="1181"/>
      <c r="Z122" s="1181"/>
      <c r="AA122" s="1181"/>
      <c r="AB122" s="1181"/>
      <c r="AC122" s="1181"/>
      <c r="AD122" s="1181"/>
      <c r="AE122" s="1181"/>
      <c r="AF122" s="1181"/>
      <c r="AG122" s="1180"/>
      <c r="AH122" s="1180"/>
      <c r="AI122" s="1181"/>
      <c r="AJ122" s="1180"/>
      <c r="AK122" s="1181"/>
      <c r="AL122" s="1992"/>
      <c r="AM122" s="1829"/>
      <c r="AN122" s="1829"/>
      <c r="AO122" s="1829"/>
      <c r="AP122" s="1829"/>
      <c r="AQ122" s="1829"/>
      <c r="AR122" s="1829"/>
      <c r="AS122" s="1829"/>
      <c r="AT122" s="1829"/>
      <c r="AU122" s="1829"/>
      <c r="AV122" s="1829"/>
      <c r="AW122" s="1829"/>
      <c r="AX122" s="1829"/>
      <c r="AY122" s="1829"/>
      <c r="AZ122" s="1829"/>
      <c r="BA122" s="1829"/>
      <c r="BB122" s="1829"/>
      <c r="BC122" s="1829"/>
      <c r="BD122" s="1829"/>
      <c r="BE122" s="1829"/>
      <c r="BF122" s="1829"/>
      <c r="BG122" s="1642"/>
    </row>
    <row customHeight="1" ht="10.5">
      <c r="E123" s="914"/>
      <c r="F123" s="925"/>
      <c r="G123" s="925"/>
      <c r="H123" s="1179"/>
      <c r="I123" s="925"/>
      <c r="J123" s="925"/>
      <c r="K123" s="925"/>
      <c r="L123" s="1138"/>
      <c r="M123" s="1138"/>
      <c r="N123" s="925"/>
      <c r="O123" s="925"/>
      <c r="P123" s="925"/>
      <c r="Q123" s="925"/>
      <c r="R123" s="925"/>
      <c r="S123" s="925"/>
      <c r="T123" s="925"/>
      <c r="U123" s="925"/>
      <c r="V123" s="925"/>
      <c r="W123" s="925"/>
      <c r="X123" s="925"/>
      <c r="Y123" s="925"/>
      <c r="Z123" s="925"/>
      <c r="AA123" s="925"/>
      <c r="AB123" s="925"/>
      <c r="AC123" s="925"/>
      <c r="AD123" s="1138"/>
      <c r="AE123" s="925"/>
      <c r="AF123" s="925"/>
      <c r="AG123" s="925"/>
      <c r="AH123" s="1156"/>
      <c r="AI123" s="1149"/>
      <c r="AJ123" s="925"/>
      <c r="AK123" s="925"/>
      <c r="AL123" s="914"/>
      <c r="AM123" s="914"/>
      <c r="AN123" s="914"/>
      <c r="AO123" s="914"/>
      <c r="AP123" s="914"/>
      <c r="AQ123" s="914"/>
      <c r="AR123" s="914"/>
      <c r="AS123" s="914"/>
      <c r="AT123" s="914"/>
      <c r="AU123" s="914"/>
      <c r="AV123" s="914"/>
      <c r="AW123" s="914"/>
      <c r="AX123" s="914"/>
      <c r="AY123" s="914"/>
      <c r="AZ123" s="914"/>
      <c r="BA123" s="914"/>
      <c r="BB123" s="914"/>
      <c r="BC123" s="914"/>
      <c r="BD123" s="914"/>
      <c r="BE123" s="914"/>
      <c r="BF123" s="914"/>
      <c r="BG123" s="765">
        <v>10</v>
      </c>
    </row>
    <row customHeight="1" ht="13.5">
      <c r="E124" s="914"/>
      <c r="F124" s="921" t="s">
        <v>1107</v>
      </c>
      <c r="G124" s="921"/>
      <c r="H124" s="1178"/>
      <c r="I124" s="921"/>
      <c r="J124" s="921"/>
      <c r="K124" s="918"/>
      <c r="L124" s="1134"/>
      <c r="M124" s="1134"/>
      <c r="N124" s="920"/>
      <c r="O124" s="920"/>
      <c r="P124" s="920"/>
      <c r="Q124" s="920"/>
      <c r="R124" s="920"/>
      <c r="S124" s="920"/>
      <c r="T124" s="920"/>
      <c r="U124" s="920"/>
      <c r="V124" s="920"/>
      <c r="W124" s="920"/>
      <c r="X124" s="920"/>
      <c r="Y124" s="920"/>
      <c r="Z124" s="918"/>
      <c r="AA124" s="918"/>
      <c r="AB124" s="918"/>
      <c r="AC124" s="918"/>
      <c r="AD124" s="1134"/>
      <c r="AE124" s="918"/>
      <c r="AF124" s="918"/>
      <c r="AG124" s="918"/>
      <c r="AH124" s="1153"/>
      <c r="AI124" s="1146"/>
      <c r="AJ124" s="918"/>
      <c r="AK124" s="918"/>
      <c r="AL124" s="914"/>
      <c r="AM124" s="914"/>
      <c r="AN124" s="914"/>
      <c r="AO124" s="914"/>
      <c r="AP124" s="914"/>
      <c r="AQ124" s="914"/>
      <c r="AR124" s="914"/>
      <c r="AS124" s="914"/>
      <c r="AT124" s="914"/>
      <c r="AU124" s="914"/>
      <c r="AV124" s="914"/>
      <c r="AW124" s="914"/>
      <c r="AX124" s="914"/>
      <c r="AY124" s="914"/>
      <c r="AZ124" s="914"/>
      <c r="BA124" s="914"/>
      <c r="BB124" s="914"/>
      <c r="BC124" s="914"/>
      <c r="BD124" s="914"/>
      <c r="BE124" s="914"/>
      <c r="BF124" s="914"/>
      <c r="BG124" s="765">
        <v>13</v>
      </c>
    </row>
    <row customHeight="1" ht="10.5">
      <c r="BG125" s="765">
        <v>10</v>
      </c>
    </row>
    <row customHeight="1" ht="10.5">
      <c r="E126" s="914"/>
      <c r="F126" s="2427"/>
      <c r="G126" s="2427"/>
      <c r="H126" s="2427"/>
      <c r="I126" s="2427"/>
      <c r="J126" s="2427"/>
      <c r="K126" s="918"/>
      <c r="L126" s="1134"/>
      <c r="M126" s="1134"/>
      <c r="N126" s="920"/>
      <c r="O126" s="920"/>
      <c r="P126" s="920"/>
      <c r="Q126" s="920"/>
      <c r="R126" s="920"/>
      <c r="S126" s="920"/>
      <c r="T126" s="920"/>
      <c r="U126" s="920"/>
      <c r="V126" s="920"/>
      <c r="W126" s="920"/>
      <c r="X126" s="920"/>
      <c r="Y126" s="920"/>
      <c r="Z126" s="918"/>
      <c r="AA126" s="918"/>
      <c r="AB126" s="918"/>
      <c r="AC126" s="918"/>
      <c r="AD126" s="1134"/>
      <c r="AE126" s="918"/>
      <c r="AF126" s="918"/>
      <c r="AG126" s="918"/>
      <c r="AH126" s="1153"/>
      <c r="AI126" s="1146"/>
      <c r="AJ126" s="918"/>
      <c r="AK126" s="918"/>
      <c r="AL126" s="914"/>
      <c r="AM126" s="914"/>
      <c r="AN126" s="914"/>
      <c r="AO126" s="914"/>
      <c r="AP126" s="914"/>
      <c r="AQ126" s="914"/>
      <c r="AR126" s="914"/>
      <c r="AS126" s="914"/>
      <c r="AT126" s="914"/>
      <c r="AU126" s="914"/>
      <c r="AV126" s="914"/>
      <c r="AW126" s="914"/>
      <c r="AX126" s="914"/>
      <c r="AY126" s="914"/>
      <c r="AZ126" s="914"/>
      <c r="BA126" s="914"/>
      <c r="BB126" s="914"/>
      <c r="BC126" s="914"/>
      <c r="BD126" s="914"/>
      <c r="BE126" s="914"/>
      <c r="BF126" s="914"/>
      <c r="BG126" s="765">
        <v>10</v>
      </c>
    </row>
    <row customHeight="1" ht="10.5">
      <c r="E127" s="914"/>
      <c r="F127" s="2427"/>
      <c r="G127" s="2427"/>
      <c r="H127" s="2427"/>
      <c r="I127" s="2427"/>
      <c r="J127" s="2427"/>
      <c r="K127" s="918"/>
      <c r="L127" s="1134"/>
      <c r="M127" s="1134"/>
      <c r="N127" s="920"/>
      <c r="O127" s="920"/>
      <c r="P127" s="920"/>
      <c r="Q127" s="920"/>
      <c r="R127" s="920"/>
      <c r="S127" s="920"/>
      <c r="T127" s="920"/>
      <c r="U127" s="920"/>
      <c r="V127" s="920"/>
      <c r="W127" s="920"/>
      <c r="X127" s="920"/>
      <c r="Y127" s="920"/>
      <c r="Z127" s="918"/>
      <c r="AA127" s="918"/>
      <c r="AB127" s="918"/>
      <c r="AC127" s="918"/>
      <c r="AD127" s="1134"/>
      <c r="AE127" s="918"/>
      <c r="AF127" s="918"/>
      <c r="AG127" s="918"/>
      <c r="AH127" s="1153"/>
      <c r="AI127" s="1146"/>
      <c r="AJ127" s="918"/>
      <c r="AK127" s="918"/>
      <c r="AL127" s="914"/>
      <c r="AM127" s="914"/>
      <c r="AN127" s="914"/>
      <c r="AO127" s="914"/>
      <c r="AP127" s="914"/>
      <c r="AQ127" s="914"/>
      <c r="AR127" s="914"/>
      <c r="AS127" s="914"/>
      <c r="AT127" s="914"/>
      <c r="AU127" s="914"/>
      <c r="AV127" s="914"/>
      <c r="AW127" s="914"/>
      <c r="AX127" s="914"/>
      <c r="AY127" s="914"/>
      <c r="AZ127" s="914"/>
      <c r="BA127" s="914"/>
      <c r="BB127" s="914"/>
      <c r="BC127" s="914"/>
      <c r="BD127" s="914"/>
      <c r="BE127" s="914"/>
      <c r="BF127" s="914"/>
      <c r="BG127" s="765">
        <v>10</v>
      </c>
    </row>
    <row customHeight="1" ht="10.5">
      <c r="E128" s="914"/>
      <c r="F128" s="2427"/>
      <c r="G128" s="2427"/>
      <c r="H128" s="2427"/>
      <c r="I128" s="2427"/>
      <c r="J128" s="2427"/>
      <c r="K128" s="918"/>
      <c r="L128" s="1134"/>
      <c r="M128" s="1134"/>
      <c r="N128" s="920"/>
      <c r="O128" s="920"/>
      <c r="P128" s="920"/>
      <c r="Q128" s="920"/>
      <c r="R128" s="920"/>
      <c r="S128" s="920"/>
      <c r="T128" s="920"/>
      <c r="U128" s="920"/>
      <c r="V128" s="920"/>
      <c r="W128" s="920"/>
      <c r="X128" s="920"/>
      <c r="Y128" s="920"/>
      <c r="Z128" s="918"/>
      <c r="AA128" s="918"/>
      <c r="AB128" s="918"/>
      <c r="AC128" s="918"/>
      <c r="AD128" s="1134"/>
      <c r="AE128" s="918"/>
      <c r="AF128" s="918"/>
      <c r="AG128" s="918"/>
      <c r="AH128" s="1153"/>
      <c r="AI128" s="1146"/>
      <c r="AJ128" s="918"/>
      <c r="AK128" s="918"/>
      <c r="AL128" s="914"/>
      <c r="AM128" s="914"/>
      <c r="AN128" s="914"/>
      <c r="AO128" s="914"/>
      <c r="AP128" s="914"/>
      <c r="AQ128" s="914"/>
      <c r="AR128" s="914"/>
      <c r="AS128" s="914"/>
      <c r="AT128" s="914"/>
      <c r="AU128" s="914"/>
      <c r="AV128" s="914"/>
      <c r="AW128" s="914"/>
      <c r="AX128" s="914"/>
      <c r="AY128" s="914"/>
      <c r="AZ128" s="914"/>
      <c r="BA128" s="914"/>
      <c r="BB128" s="914"/>
      <c r="BC128" s="914"/>
      <c r="BD128" s="914"/>
      <c r="BE128" s="914"/>
      <c r="BF128" s="914"/>
      <c r="BG128" s="765">
        <v>10</v>
      </c>
    </row>
    <row customHeight="1" ht="10.5" hidden="1">
      <c r="A129" s="902" t="s">
        <v>81</v>
      </c>
      <c r="B129" s="902">
        <v>0</v>
      </c>
      <c r="C129" s="902">
        <v>0</v>
      </c>
      <c r="D129" s="424">
        <v>0</v>
      </c>
      <c r="E129" s="516">
        <v>3</v>
      </c>
      <c r="F129" s="765">
        <v>14</v>
      </c>
      <c r="G129" s="765">
        <v>3</v>
      </c>
      <c r="H129" s="1162">
        <v>7</v>
      </c>
      <c r="I129" s="765">
        <v>16</v>
      </c>
      <c r="J129" s="765">
        <v>16</v>
      </c>
      <c r="K129" s="765">
        <v>25</v>
      </c>
      <c r="L129" s="1132">
        <v>7</v>
      </c>
      <c r="M129" s="1132">
        <v>15</v>
      </c>
      <c r="N129" s="765">
        <v>3</v>
      </c>
      <c r="O129" s="765">
        <v>4</v>
      </c>
      <c r="P129" s="765">
        <v>8</v>
      </c>
      <c r="Q129" s="765">
        <v>21</v>
      </c>
      <c r="R129" s="765">
        <v>14</v>
      </c>
      <c r="S129" s="765">
        <v>17</v>
      </c>
      <c r="T129" s="765">
        <v>17</v>
      </c>
      <c r="U129" s="765">
        <v>9</v>
      </c>
      <c r="V129" s="765">
        <v>12</v>
      </c>
      <c r="W129" s="765">
        <v>9</v>
      </c>
      <c r="X129" s="765">
        <v>21</v>
      </c>
      <c r="Y129" s="765">
        <v>12</v>
      </c>
      <c r="Z129" s="765">
        <v>3</v>
      </c>
      <c r="AA129" s="765">
        <v>6</v>
      </c>
      <c r="AB129" s="765">
        <v>38</v>
      </c>
      <c r="AC129" s="765">
        <v>15</v>
      </c>
      <c r="AD129" s="1132">
        <v>0</v>
      </c>
      <c r="AE129" s="765">
        <v>0</v>
      </c>
      <c r="AF129" s="765">
        <v>16</v>
      </c>
      <c r="AG129" s="765">
        <v>16</v>
      </c>
      <c r="AH129" s="1151">
        <v>16</v>
      </c>
      <c r="AI129" s="1144">
        <v>0</v>
      </c>
      <c r="AJ129" s="765">
        <v>0</v>
      </c>
      <c r="AK129" s="765">
        <v>0</v>
      </c>
      <c r="AL129" s="765">
        <v>8</v>
      </c>
      <c r="AM129" s="765">
        <v>8</v>
      </c>
      <c r="AN129" s="765">
        <v>8</v>
      </c>
      <c r="AO129" s="765">
        <v>8</v>
      </c>
      <c r="AP129" s="765">
        <v>8</v>
      </c>
      <c r="AQ129" s="765">
        <v>8</v>
      </c>
      <c r="AR129" s="765">
        <v>8</v>
      </c>
      <c r="AS129" s="765">
        <v>8</v>
      </c>
      <c r="AT129" s="765">
        <v>8</v>
      </c>
      <c r="AU129" s="765">
        <v>8</v>
      </c>
      <c r="AV129" s="765">
        <v>8</v>
      </c>
      <c r="AW129" s="765">
        <v>8</v>
      </c>
      <c r="AX129" s="765">
        <v>8</v>
      </c>
      <c r="AY129" s="765">
        <v>8</v>
      </c>
      <c r="AZ129" s="765">
        <v>8</v>
      </c>
      <c r="BA129" s="765">
        <v>8</v>
      </c>
      <c r="BB129" s="765">
        <v>8</v>
      </c>
      <c r="BC129" s="765">
        <v>8</v>
      </c>
      <c r="BD129" s="765">
        <v>8</v>
      </c>
      <c r="BE129" s="765">
        <v>8</v>
      </c>
      <c r="BF129" s="765">
        <v>8</v>
      </c>
      <c r="BG129" s="765">
        <v>10</v>
      </c>
    </row>
  </sheetData>
  <sheetProtection formatColumns="0" formatRows="0" autoFilter="0" sort="0" insertRows="0" insertColumns="1" deleteRows="0" deleteColumns="0"/>
  <mergeCells count="484">
    <mergeCell ref="AB9:AE10"/>
    <mergeCell ref="S11:Y11"/>
    <mergeCell ref="N10:Y10"/>
    <mergeCell ref="K9:Y9"/>
    <mergeCell ref="N11:O12"/>
    <mergeCell ref="P11:P12"/>
    <mergeCell ref="Q11:Q12"/>
    <mergeCell ref="F128:J128"/>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27:J127"/>
    <mergeCell ref="F126:J126"/>
    <mergeCell ref="F5:K5"/>
    <mergeCell ref="P16:P18"/>
    <mergeCell ref="Q16:Q18"/>
    <mergeCell ref="R16:R18"/>
    <mergeCell ref="G15:G19"/>
    <mergeCell ref="AJ15:AJ19"/>
    <mergeCell ref="AK15:AK19"/>
    <mergeCell ref="I50:K50"/>
    <mergeCell ref="F15:F5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52:P54"/>
    <mergeCell ref="Q52:Q54"/>
    <mergeCell ref="R52:R54"/>
    <mergeCell ref="G51:G55"/>
    <mergeCell ref="AJ51:AJ55"/>
    <mergeCell ref="AK51:AK55"/>
    <mergeCell ref="I86:K86"/>
    <mergeCell ref="F51:F86"/>
    <mergeCell ref="AF51:AF55"/>
    <mergeCell ref="AG51:AG55"/>
    <mergeCell ref="AH51:AH55"/>
    <mergeCell ref="AI51:AI55"/>
    <mergeCell ref="S52:S54"/>
    <mergeCell ref="T52:T54"/>
    <mergeCell ref="U52:U54"/>
    <mergeCell ref="V52:V54"/>
    <mergeCell ref="W52:W54"/>
    <mergeCell ref="X52:X54"/>
    <mergeCell ref="Y52:Y54"/>
    <mergeCell ref="H51:H55"/>
    <mergeCell ref="I51:I55"/>
    <mergeCell ref="J51:J55"/>
    <mergeCell ref="K51:K55"/>
    <mergeCell ref="L51:L55"/>
    <mergeCell ref="M51:M55"/>
    <mergeCell ref="N52:N54"/>
    <mergeCell ref="O52:O54"/>
    <mergeCell ref="P88:P90"/>
    <mergeCell ref="Q88:Q90"/>
    <mergeCell ref="R88:R90"/>
    <mergeCell ref="G87:G91"/>
    <mergeCell ref="AJ87:AJ91"/>
    <mergeCell ref="AK87:AK91"/>
    <mergeCell ref="I122:K122"/>
    <mergeCell ref="F87:F122"/>
    <mergeCell ref="AF87:AF91"/>
    <mergeCell ref="AG87:AG91"/>
    <mergeCell ref="AH87:AH91"/>
    <mergeCell ref="AI87:AI91"/>
    <mergeCell ref="S88:S90"/>
    <mergeCell ref="T88:T90"/>
    <mergeCell ref="U88:U90"/>
    <mergeCell ref="V88:V90"/>
    <mergeCell ref="W88:W90"/>
    <mergeCell ref="X88:X90"/>
    <mergeCell ref="Y88:Y90"/>
    <mergeCell ref="H87:H91"/>
    <mergeCell ref="I87:I91"/>
    <mergeCell ref="J87:J91"/>
    <mergeCell ref="K87:K91"/>
    <mergeCell ref="L87:L91"/>
    <mergeCell ref="M87:M91"/>
    <mergeCell ref="N88:N90"/>
    <mergeCell ref="O88:O90"/>
    <mergeCell ref="H20:H26"/>
    <mergeCell ref="I20:I26"/>
    <mergeCell ref="J20:J26"/>
    <mergeCell ref="K20:K26"/>
    <mergeCell ref="L20:L26"/>
    <mergeCell ref="M20:M26"/>
    <mergeCell ref="AF20:AF26"/>
    <mergeCell ref="AG20:AG26"/>
    <mergeCell ref="AH20:AH26"/>
    <mergeCell ref="AI20:AI26"/>
    <mergeCell ref="AJ20:AJ26"/>
    <mergeCell ref="AK20:AK26"/>
    <mergeCell ref="N21:N25"/>
    <mergeCell ref="O21:O25"/>
    <mergeCell ref="P21:P25"/>
    <mergeCell ref="Q21:Q25"/>
    <mergeCell ref="R21:R25"/>
    <mergeCell ref="S21:S25"/>
    <mergeCell ref="T21:T25"/>
    <mergeCell ref="U21:U25"/>
    <mergeCell ref="V21:V25"/>
    <mergeCell ref="W21:W25"/>
    <mergeCell ref="X21:X25"/>
    <mergeCell ref="Y21:Y25"/>
    <mergeCell ref="G20:G26"/>
    <mergeCell ref="H27:H32"/>
    <mergeCell ref="I27:I32"/>
    <mergeCell ref="J27:J32"/>
    <mergeCell ref="K27:K32"/>
    <mergeCell ref="L27:L32"/>
    <mergeCell ref="M27:M32"/>
    <mergeCell ref="AF27:AF32"/>
    <mergeCell ref="AG27:AG32"/>
    <mergeCell ref="AH27:AH32"/>
    <mergeCell ref="AI27:AI32"/>
    <mergeCell ref="AJ27:AJ32"/>
    <mergeCell ref="AK27:AK32"/>
    <mergeCell ref="N28:N31"/>
    <mergeCell ref="O28:O31"/>
    <mergeCell ref="P28:P31"/>
    <mergeCell ref="Q28:Q31"/>
    <mergeCell ref="R28:R31"/>
    <mergeCell ref="S28:S31"/>
    <mergeCell ref="T28:T31"/>
    <mergeCell ref="U28:U31"/>
    <mergeCell ref="V28:V31"/>
    <mergeCell ref="W28:W31"/>
    <mergeCell ref="X28:X31"/>
    <mergeCell ref="Y28:Y31"/>
    <mergeCell ref="G27:G32"/>
    <mergeCell ref="H33:H37"/>
    <mergeCell ref="I33:I37"/>
    <mergeCell ref="J33:J37"/>
    <mergeCell ref="K33:K37"/>
    <mergeCell ref="L33:L37"/>
    <mergeCell ref="M33:M37"/>
    <mergeCell ref="AF33:AF37"/>
    <mergeCell ref="AG33:AG37"/>
    <mergeCell ref="AH33:AH37"/>
    <mergeCell ref="AI33:AI37"/>
    <mergeCell ref="AJ33:AJ37"/>
    <mergeCell ref="AK33:AK37"/>
    <mergeCell ref="N34:N36"/>
    <mergeCell ref="O34:O36"/>
    <mergeCell ref="P34:P36"/>
    <mergeCell ref="Q34:Q36"/>
    <mergeCell ref="R34:R36"/>
    <mergeCell ref="S34:S36"/>
    <mergeCell ref="T34:T36"/>
    <mergeCell ref="U34:U36"/>
    <mergeCell ref="V34:V36"/>
    <mergeCell ref="W34:W36"/>
    <mergeCell ref="X34:X36"/>
    <mergeCell ref="Y34:Y36"/>
    <mergeCell ref="G33:G37"/>
    <mergeCell ref="H38:H43"/>
    <mergeCell ref="I38:I43"/>
    <mergeCell ref="J38:J43"/>
    <mergeCell ref="K38:K43"/>
    <mergeCell ref="L38:L43"/>
    <mergeCell ref="M38:M43"/>
    <mergeCell ref="AF38:AF43"/>
    <mergeCell ref="AG38:AG43"/>
    <mergeCell ref="AH38:AH43"/>
    <mergeCell ref="AI38:AI43"/>
    <mergeCell ref="AJ38:AJ43"/>
    <mergeCell ref="AK38:AK43"/>
    <mergeCell ref="N39:N42"/>
    <mergeCell ref="O39:O42"/>
    <mergeCell ref="P39:P42"/>
    <mergeCell ref="Q39:Q42"/>
    <mergeCell ref="R39:R42"/>
    <mergeCell ref="S39:S42"/>
    <mergeCell ref="T39:T42"/>
    <mergeCell ref="U39:U42"/>
    <mergeCell ref="V39:V42"/>
    <mergeCell ref="W39:W42"/>
    <mergeCell ref="X39:X42"/>
    <mergeCell ref="Y39:Y42"/>
    <mergeCell ref="G38:G43"/>
    <mergeCell ref="H44:H49"/>
    <mergeCell ref="I44:I49"/>
    <mergeCell ref="J44:J49"/>
    <mergeCell ref="K44:K49"/>
    <mergeCell ref="L44:L49"/>
    <mergeCell ref="M44:M49"/>
    <mergeCell ref="AF44:AF49"/>
    <mergeCell ref="AG44:AG49"/>
    <mergeCell ref="AH44:AH49"/>
    <mergeCell ref="AI44:AI49"/>
    <mergeCell ref="AJ44:AJ49"/>
    <mergeCell ref="AK44:AK49"/>
    <mergeCell ref="N45:N48"/>
    <mergeCell ref="O45:O48"/>
    <mergeCell ref="P45:P48"/>
    <mergeCell ref="Q45:Q48"/>
    <mergeCell ref="R45:R48"/>
    <mergeCell ref="S45:S48"/>
    <mergeCell ref="T45:T48"/>
    <mergeCell ref="U45:U48"/>
    <mergeCell ref="V45:V48"/>
    <mergeCell ref="W45:W48"/>
    <mergeCell ref="X45:X48"/>
    <mergeCell ref="Y45:Y48"/>
    <mergeCell ref="G44:G49"/>
    <mergeCell ref="H56:H62"/>
    <mergeCell ref="I56:I62"/>
    <mergeCell ref="J56:J62"/>
    <mergeCell ref="K56:K62"/>
    <mergeCell ref="L56:L62"/>
    <mergeCell ref="M56:M62"/>
    <mergeCell ref="AF56:AF62"/>
    <mergeCell ref="AG56:AG62"/>
    <mergeCell ref="AH56:AH62"/>
    <mergeCell ref="AI56:AI62"/>
    <mergeCell ref="AJ56:AJ62"/>
    <mergeCell ref="AK56:AK62"/>
    <mergeCell ref="N57:N61"/>
    <mergeCell ref="O57:O61"/>
    <mergeCell ref="P57:P61"/>
    <mergeCell ref="Q57:Q61"/>
    <mergeCell ref="R57:R61"/>
    <mergeCell ref="S57:S61"/>
    <mergeCell ref="T57:T61"/>
    <mergeCell ref="U57:U61"/>
    <mergeCell ref="V57:V61"/>
    <mergeCell ref="W57:W61"/>
    <mergeCell ref="X57:X61"/>
    <mergeCell ref="Y57:Y61"/>
    <mergeCell ref="G56:G62"/>
    <mergeCell ref="H63:H68"/>
    <mergeCell ref="I63:I68"/>
    <mergeCell ref="J63:J68"/>
    <mergeCell ref="K63:K68"/>
    <mergeCell ref="L63:L68"/>
    <mergeCell ref="M63:M68"/>
    <mergeCell ref="AF63:AF68"/>
    <mergeCell ref="AG63:AG68"/>
    <mergeCell ref="AH63:AH68"/>
    <mergeCell ref="AI63:AI68"/>
    <mergeCell ref="AJ63:AJ68"/>
    <mergeCell ref="AK63:AK68"/>
    <mergeCell ref="N64:N67"/>
    <mergeCell ref="O64:O67"/>
    <mergeCell ref="P64:P67"/>
    <mergeCell ref="Q64:Q67"/>
    <mergeCell ref="R64:R67"/>
    <mergeCell ref="S64:S67"/>
    <mergeCell ref="T64:T67"/>
    <mergeCell ref="U64:U67"/>
    <mergeCell ref="V64:V67"/>
    <mergeCell ref="W64:W67"/>
    <mergeCell ref="X64:X67"/>
    <mergeCell ref="Y64:Y67"/>
    <mergeCell ref="G63:G68"/>
    <mergeCell ref="H69:H73"/>
    <mergeCell ref="I69:I73"/>
    <mergeCell ref="J69:J73"/>
    <mergeCell ref="K69:K73"/>
    <mergeCell ref="L69:L73"/>
    <mergeCell ref="M69:M73"/>
    <mergeCell ref="AF69:AF73"/>
    <mergeCell ref="AG69:AG73"/>
    <mergeCell ref="AH69:AH73"/>
    <mergeCell ref="AI69:AI73"/>
    <mergeCell ref="AJ69:AJ73"/>
    <mergeCell ref="AK69:AK73"/>
    <mergeCell ref="N70:N72"/>
    <mergeCell ref="O70:O72"/>
    <mergeCell ref="P70:P72"/>
    <mergeCell ref="Q70:Q72"/>
    <mergeCell ref="R70:R72"/>
    <mergeCell ref="S70:S72"/>
    <mergeCell ref="T70:T72"/>
    <mergeCell ref="U70:U72"/>
    <mergeCell ref="V70:V72"/>
    <mergeCell ref="W70:W72"/>
    <mergeCell ref="X70:X72"/>
    <mergeCell ref="Y70:Y72"/>
    <mergeCell ref="G69:G73"/>
    <mergeCell ref="H74:H79"/>
    <mergeCell ref="I74:I79"/>
    <mergeCell ref="J74:J79"/>
    <mergeCell ref="K74:K79"/>
    <mergeCell ref="L74:L79"/>
    <mergeCell ref="M74:M79"/>
    <mergeCell ref="AF74:AF79"/>
    <mergeCell ref="AG74:AG79"/>
    <mergeCell ref="AH74:AH79"/>
    <mergeCell ref="AI74:AI79"/>
    <mergeCell ref="AJ74:AJ79"/>
    <mergeCell ref="AK74:AK79"/>
    <mergeCell ref="N75:N78"/>
    <mergeCell ref="O75:O78"/>
    <mergeCell ref="P75:P78"/>
    <mergeCell ref="Q75:Q78"/>
    <mergeCell ref="R75:R78"/>
    <mergeCell ref="S75:S78"/>
    <mergeCell ref="T75:T78"/>
    <mergeCell ref="U75:U78"/>
    <mergeCell ref="V75:V78"/>
    <mergeCell ref="W75:W78"/>
    <mergeCell ref="X75:X78"/>
    <mergeCell ref="Y75:Y78"/>
    <mergeCell ref="G74:G79"/>
    <mergeCell ref="H80:H85"/>
    <mergeCell ref="I80:I85"/>
    <mergeCell ref="J80:J85"/>
    <mergeCell ref="K80:K85"/>
    <mergeCell ref="L80:L85"/>
    <mergeCell ref="M80:M85"/>
    <mergeCell ref="AF80:AF85"/>
    <mergeCell ref="AG80:AG85"/>
    <mergeCell ref="AH80:AH85"/>
    <mergeCell ref="AI80:AI85"/>
    <mergeCell ref="AJ80:AJ85"/>
    <mergeCell ref="AK80:AK85"/>
    <mergeCell ref="N81:N84"/>
    <mergeCell ref="O81:O84"/>
    <mergeCell ref="P81:P84"/>
    <mergeCell ref="Q81:Q84"/>
    <mergeCell ref="R81:R84"/>
    <mergeCell ref="S81:S84"/>
    <mergeCell ref="T81:T84"/>
    <mergeCell ref="U81:U84"/>
    <mergeCell ref="V81:V84"/>
    <mergeCell ref="W81:W84"/>
    <mergeCell ref="X81:X84"/>
    <mergeCell ref="Y81:Y84"/>
    <mergeCell ref="G80:G85"/>
    <mergeCell ref="H92:H98"/>
    <mergeCell ref="I92:I98"/>
    <mergeCell ref="J92:J98"/>
    <mergeCell ref="K92:K98"/>
    <mergeCell ref="L92:L98"/>
    <mergeCell ref="M92:M98"/>
    <mergeCell ref="AF92:AF98"/>
    <mergeCell ref="AG92:AG98"/>
    <mergeCell ref="AH92:AH98"/>
    <mergeCell ref="AI92:AI98"/>
    <mergeCell ref="AJ92:AJ98"/>
    <mergeCell ref="AK92:AK98"/>
    <mergeCell ref="N93:N97"/>
    <mergeCell ref="O93:O97"/>
    <mergeCell ref="P93:P97"/>
    <mergeCell ref="Q93:Q97"/>
    <mergeCell ref="R93:R97"/>
    <mergeCell ref="S93:S97"/>
    <mergeCell ref="T93:T97"/>
    <mergeCell ref="U93:U97"/>
    <mergeCell ref="V93:V97"/>
    <mergeCell ref="W93:W97"/>
    <mergeCell ref="X93:X97"/>
    <mergeCell ref="Y93:Y97"/>
    <mergeCell ref="G92:G98"/>
    <mergeCell ref="H99:H104"/>
    <mergeCell ref="I99:I104"/>
    <mergeCell ref="J99:J104"/>
    <mergeCell ref="K99:K104"/>
    <mergeCell ref="L99:L104"/>
    <mergeCell ref="M99:M104"/>
    <mergeCell ref="AF99:AF104"/>
    <mergeCell ref="AG99:AG104"/>
    <mergeCell ref="AH99:AH104"/>
    <mergeCell ref="AI99:AI104"/>
    <mergeCell ref="AJ99:AJ104"/>
    <mergeCell ref="AK99:AK104"/>
    <mergeCell ref="N100:N103"/>
    <mergeCell ref="O100:O103"/>
    <mergeCell ref="P100:P103"/>
    <mergeCell ref="Q100:Q103"/>
    <mergeCell ref="R100:R103"/>
    <mergeCell ref="S100:S103"/>
    <mergeCell ref="T100:T103"/>
    <mergeCell ref="U100:U103"/>
    <mergeCell ref="V100:V103"/>
    <mergeCell ref="W100:W103"/>
    <mergeCell ref="X100:X103"/>
    <mergeCell ref="Y100:Y103"/>
    <mergeCell ref="G99:G104"/>
    <mergeCell ref="H105:H109"/>
    <mergeCell ref="I105:I109"/>
    <mergeCell ref="J105:J109"/>
    <mergeCell ref="K105:K109"/>
    <mergeCell ref="L105:L109"/>
    <mergeCell ref="M105:M109"/>
    <mergeCell ref="AF105:AF109"/>
    <mergeCell ref="AG105:AG109"/>
    <mergeCell ref="AH105:AH109"/>
    <mergeCell ref="AI105:AI109"/>
    <mergeCell ref="AJ105:AJ109"/>
    <mergeCell ref="AK105:AK109"/>
    <mergeCell ref="N106:N108"/>
    <mergeCell ref="O106:O108"/>
    <mergeCell ref="P106:P108"/>
    <mergeCell ref="Q106:Q108"/>
    <mergeCell ref="R106:R108"/>
    <mergeCell ref="S106:S108"/>
    <mergeCell ref="T106:T108"/>
    <mergeCell ref="U106:U108"/>
    <mergeCell ref="V106:V108"/>
    <mergeCell ref="W106:W108"/>
    <mergeCell ref="X106:X108"/>
    <mergeCell ref="Y106:Y108"/>
    <mergeCell ref="G105:G109"/>
    <mergeCell ref="H110:H115"/>
    <mergeCell ref="I110:I115"/>
    <mergeCell ref="J110:J115"/>
    <mergeCell ref="K110:K115"/>
    <mergeCell ref="L110:L115"/>
    <mergeCell ref="M110:M115"/>
    <mergeCell ref="AF110:AF115"/>
    <mergeCell ref="AG110:AG115"/>
    <mergeCell ref="AH110:AH115"/>
    <mergeCell ref="AI110:AI115"/>
    <mergeCell ref="AJ110:AJ115"/>
    <mergeCell ref="AK110:AK115"/>
    <mergeCell ref="N111:N114"/>
    <mergeCell ref="O111:O114"/>
    <mergeCell ref="P111:P114"/>
    <mergeCell ref="Q111:Q114"/>
    <mergeCell ref="R111:R114"/>
    <mergeCell ref="S111:S114"/>
    <mergeCell ref="T111:T114"/>
    <mergeCell ref="U111:U114"/>
    <mergeCell ref="V111:V114"/>
    <mergeCell ref="W111:W114"/>
    <mergeCell ref="X111:X114"/>
    <mergeCell ref="Y111:Y114"/>
    <mergeCell ref="G110:G115"/>
    <mergeCell ref="H116:H121"/>
    <mergeCell ref="I116:I121"/>
    <mergeCell ref="J116:J121"/>
    <mergeCell ref="K116:K121"/>
    <mergeCell ref="L116:L121"/>
    <mergeCell ref="M116:M121"/>
    <mergeCell ref="AF116:AF121"/>
    <mergeCell ref="AG116:AG121"/>
    <mergeCell ref="AH116:AH121"/>
    <mergeCell ref="AI116:AI121"/>
    <mergeCell ref="AJ116:AJ121"/>
    <mergeCell ref="AK116:AK121"/>
    <mergeCell ref="N117:N120"/>
    <mergeCell ref="O117:O120"/>
    <mergeCell ref="P117:P120"/>
    <mergeCell ref="Q117:Q120"/>
    <mergeCell ref="R117:R120"/>
    <mergeCell ref="S117:S120"/>
    <mergeCell ref="T117:T120"/>
    <mergeCell ref="U117:U120"/>
    <mergeCell ref="V117:V120"/>
    <mergeCell ref="W117:W120"/>
    <mergeCell ref="X117:X120"/>
    <mergeCell ref="Y117:Y120"/>
    <mergeCell ref="G116:G121"/>
  </mergeCells>
  <dataValidations count="555">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decimal" allowBlank="1" showErrorMessage="1" errorTitle="Ошибка" error="Допускается ввод только неотрицательных чисел!" sqref="AE119">
      <formula1>0</formula1>
      <formula2>9.99999999999999E+23</formula2>
    </dataValidation>
    <dataValidation type="decimal" allowBlank="1" showErrorMessage="1" errorTitle="Ошибка" error="Допускается ввод только неотрицательных чисел!" sqref="AC119">
      <formula1>0</formula1>
      <formula2>9.99999999999999E+23</formula2>
    </dataValidation>
    <dataValidation type="textLength" operator="lessThanOrEqual" allowBlank="1" showInputMessage="1" showErrorMessage="1" errorTitle="Ошибка" error="Допускается ввод не более 900 символов!" sqref="K1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decimal" allowBlank="1" showErrorMessage="1" errorTitle="Ошибка" error="Допускается ввод только неотрицательных чисел!" sqref="AE113">
      <formula1>0</formula1>
      <formula2>9.99999999999999E+23</formula2>
    </dataValidation>
    <dataValidation type="decimal" allowBlank="1" showErrorMessage="1" errorTitle="Ошибка" error="Допускается ввод только неотрицательных чисел!" sqref="AC113">
      <formula1>0</formula1>
      <formula2>9.99999999999999E+23</formula2>
    </dataValidation>
    <dataValidation type="textLength" operator="lessThanOrEqual" allowBlank="1" showInputMessage="1" showErrorMessage="1" errorTitle="Ошибка" error="Допускается ввод не более 900 символов!" sqref="K1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decimal" allowBlank="1" showErrorMessage="1" errorTitle="Ошибка" error="Допускается ввод только неотрицательных чисел!" sqref="AE102">
      <formula1>0</formula1>
      <formula2>9.99999999999999E+23</formula2>
    </dataValidation>
    <dataValidation type="decimal" allowBlank="1" showErrorMessage="1" errorTitle="Ошибка" error="Допускается ввод только неотрицательных чисел!" sqref="AC102">
      <formula1>0</formula1>
      <formula2>9.99999999999999E+23</formula2>
    </dataValidation>
    <dataValidation type="textLength" operator="lessThanOrEqual" allowBlank="1" showInputMessage="1" showErrorMessage="1" errorTitle="Ошибка" error="Допускается ввод не более 900 символов!" sqref="K1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decimal" allowBlank="1" showErrorMessage="1" errorTitle="Ошибка" error="Допускается ввод только неотрицательных чисел!" sqref="AE96">
      <formula1>0</formula1>
      <formula2>9.99999999999999E+23</formula2>
    </dataValidation>
    <dataValidation type="decimal" allowBlank="1" showErrorMessage="1" errorTitle="Ошибка" error="Допускается ввод только неотрицательных чисел!" sqref="AC96">
      <formula1>0</formula1>
      <formula2>9.99999999999999E+23</formula2>
    </dataValidation>
    <dataValidation type="textLength" operator="lessThanOrEqual" allowBlank="1" showInputMessage="1" showErrorMessage="1" errorTitle="Ошибка" error="Допускается ввод не более 900 символов!" sqref="K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decimal" allowBlank="1" showErrorMessage="1" errorTitle="Ошибка" error="Допускается ввод только неотрицательных чисел!" sqref="AE95">
      <formula1>0</formula1>
      <formula2>9.99999999999999E+23</formula2>
    </dataValidation>
    <dataValidation type="decimal" allowBlank="1" showErrorMessage="1" errorTitle="Ошибка" error="Допускается ввод только неотрицательных чисел!" sqref="AC95">
      <formula1>0</formula1>
      <formula2>9.99999999999999E+23</formula2>
    </dataValidation>
    <dataValidation type="textLength" operator="lessThanOrEqual" allowBlank="1" showInputMessage="1" showErrorMessage="1" errorTitle="Ошибка" error="Допускается ввод не более 900 символов!" sqref="K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textLength" operator="lessThanOrEqual" allowBlank="1" showInputMessage="1" showErrorMessage="1" errorTitle="Ошибка" error="Допускается ввод не более 900 символов!" sqref="K1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decimal" allowBlank="1" showErrorMessage="1" errorTitle="Ошибка" error="Допускается ввод только неотрицательных чисел!" sqref="AE118">
      <formula1>0</formula1>
      <formula2>9.99999999999999E+23</formula2>
    </dataValidation>
    <dataValidation type="decimal" allowBlank="1" showErrorMessage="1" errorTitle="Ошибка" error="Допускается ввод только неотрицательных чисел!" sqref="AC118">
      <formula1>0</formula1>
      <formula2>9.99999999999999E+23</formula2>
    </dataValidation>
    <dataValidation type="textLength" operator="lessThanOrEqual" allowBlank="1" showInputMessage="1" showErrorMessage="1" errorTitle="Ошибка" error="Допускается ввод не более 900 символов!" sqref="K1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textLength" operator="lessThanOrEqual" allowBlank="1" showInputMessage="1" showErrorMessage="1" errorTitle="Ошибка" error="Допускается ввод не более 900 символов!" sqref="K1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textLength" operator="lessThanOrEqual" allowBlank="1" showInputMessage="1" showErrorMessage="1" errorTitle="Ошибка" error="Допускается ввод не более 900 символов!" sqref="M116">
      <formula1>900</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textLength" operator="lessThanOrEqual" allowBlank="1" showInputMessage="1" showErrorMessage="1" errorTitle="Ошибка" error="Допускается ввод не более 900 символов!" sqref="K1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decimal" allowBlank="1" showErrorMessage="1" errorTitle="Ошибка" error="Допускается ввод только неотрицательных чисел!" sqref="AE112">
      <formula1>0</formula1>
      <formula2>9.99999999999999E+23</formula2>
    </dataValidation>
    <dataValidation type="decimal" allowBlank="1" showErrorMessage="1" errorTitle="Ошибка" error="Допускается ввод только неотрицательных чисел!" sqref="AC112">
      <formula1>0</formula1>
      <formula2>9.99999999999999E+23</formula2>
    </dataValidation>
    <dataValidation type="textLength" operator="lessThanOrEqual" allowBlank="1" showInputMessage="1" showErrorMessage="1" errorTitle="Ошибка" error="Допускается ввод не более 900 символов!" sqref="K1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textLength" operator="lessThanOrEqual" allowBlank="1" showInputMessage="1" showErrorMessage="1" errorTitle="Ошибка" error="Допускается ввод не более 900 символов!" sqref="K1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textLength" operator="lessThanOrEqual" allowBlank="1" showInputMessage="1" showErrorMessage="1" errorTitle="Ошибка" error="Допускается ввод не более 900 символов!" sqref="M110">
      <formula1>900</formula1>
    </dataValidation>
    <dataValidation type="textLength" operator="lessThanOrEqual" allowBlank="1" showInputMessage="1" showErrorMessage="1" errorTitle="Ошибка" error="Допускается ввод не более 900 символов!" sqref="K1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textLength" operator="lessThanOrEqual" allowBlank="1" showInputMessage="1" showErrorMessage="1" errorTitle="Ошибка" error="Допускается ввод не более 900 символов!" sqref="K1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decimal" allowBlank="1" showErrorMessage="1" errorTitle="Ошибка" error="Допускается ввод только неотрицательных чисел!" sqref="AE107">
      <formula1>0</formula1>
      <formula2>9.99999999999999E+23</formula2>
    </dataValidation>
    <dataValidation type="decimal" allowBlank="1" showErrorMessage="1" errorTitle="Ошибка" error="Допускается ввод только неотрицательных чисел!" sqref="AC107">
      <formula1>0</formula1>
      <formula2>9.99999999999999E+23</formula2>
    </dataValidation>
    <dataValidation type="textLength" operator="lessThanOrEqual" allowBlank="1" showInputMessage="1" showErrorMessage="1" errorTitle="Ошибка" error="Допускается ввод не более 900 символов!" sqref="K1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textLength" operator="lessThanOrEqual" allowBlank="1" showInputMessage="1" showErrorMessage="1" errorTitle="Ошибка" error="Допускается ввод не более 900 символов!" sqref="K1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textLength" operator="lessThanOrEqual" allowBlank="1" showInputMessage="1" showErrorMessage="1" errorTitle="Ошибка" error="Допускается ввод не более 900 символов!" sqref="M105">
      <formula1>900</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textLength" operator="lessThanOrEqual" allowBlank="1" showInputMessage="1" showErrorMessage="1" errorTitle="Ошибка" error="Допускается ввод не более 900 символов!" sqref="K1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decimal" allowBlank="1" showErrorMessage="1" errorTitle="Ошибка" error="Допускается ввод только неотрицательных чисел!" sqref="AE101">
      <formula1>0</formula1>
      <formula2>9.99999999999999E+23</formula2>
    </dataValidation>
    <dataValidation type="decimal" allowBlank="1" showErrorMessage="1" errorTitle="Ошибка" error="Допускается ввод только неотрицательных чисел!" sqref="AC101">
      <formula1>0</formula1>
      <formula2>9.99999999999999E+23</formula2>
    </dataValidation>
    <dataValidation type="textLength" operator="lessThanOrEqual" allowBlank="1" showInputMessage="1" showErrorMessage="1" errorTitle="Ошибка" error="Допускается ввод не более 900 символов!" sqref="K1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textLength" operator="lessThanOrEqual" allowBlank="1" showInputMessage="1" showErrorMessage="1" errorTitle="Ошибка" error="Допускается ввод не более 900 символов!" sqref="K1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textLength" operator="lessThanOrEqual" allowBlank="1" showInputMessage="1" showErrorMessage="1" errorTitle="Ошибка" error="Допускается ввод не более 900 символов!" sqref="M99">
      <formula1>900</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textLength" operator="lessThanOrEqual" allowBlank="1" showInputMessage="1" showErrorMessage="1" errorTitle="Ошибка" error="Допускается ввод не более 900 символов!" sqref="K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textLength" operator="lessThanOrEqual" allowBlank="1" showInputMessage="1" showErrorMessage="1" errorTitle="Ошибка" error="Допускается ввод не более 900 символов!" sqref="K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textLength" operator="lessThanOrEqual" allowBlank="1" showInputMessage="1" showErrorMessage="1" errorTitle="Ошибка" error="Допускается ввод не более 900 символов!" sqref="M92">
      <formula1>900</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decimal" allowBlank="1" showErrorMessage="1" errorTitle="Ошибка" error="Допускается ввод только неотрицательных чисел!" sqref="AE83">
      <formula1>0</formula1>
      <formula2>9.99999999999999E+23</formula2>
    </dataValidation>
    <dataValidation type="decimal" allowBlank="1" showErrorMessage="1" errorTitle="Ошибка" error="Допускается ввод только неотрицательных чисел!" sqref="AC83">
      <formula1>0</formula1>
      <formula2>9.99999999999999E+23</formula2>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decimal" allowBlank="1" showErrorMessage="1" errorTitle="Ошибка" error="Допускается ввод только неотрицательных чисел!" sqref="AE77">
      <formula1>0</formula1>
      <formula2>9.99999999999999E+23</formula2>
    </dataValidation>
    <dataValidation type="decimal" allowBlank="1" showErrorMessage="1" errorTitle="Ошибка" error="Допускается ввод только неотрицательных чисел!" sqref="AC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decimal" allowBlank="1" showErrorMessage="1" errorTitle="Ошибка" error="Допускается ввод только неотрицательных чисел!" sqref="AE66">
      <formula1>0</formula1>
      <formula2>9.99999999999999E+23</formula2>
    </dataValidation>
    <dataValidation type="decimal" allowBlank="1" showErrorMessage="1" errorTitle="Ошибка" error="Допускается ввод только неотрицательных чисел!" sqref="AC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decimal" allowBlank="1" showErrorMessage="1" errorTitle="Ошибка" error="Допускается ввод только неотрицательных чисел!" sqref="AE60">
      <formula1>0</formula1>
      <formula2>9.99999999999999E+23</formula2>
    </dataValidation>
    <dataValidation type="decimal" allowBlank="1" showErrorMessage="1" errorTitle="Ошибка" error="Допускается ввод только неотрицательных чисел!" sqref="AC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textLength" operator="lessThanOrEqual" allowBlank="1" showInputMessage="1" showErrorMessage="1" errorTitle="Ошибка" error="Допускается ввод не более 900 символов!" sqref="K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decimal" allowBlank="1" showErrorMessage="1" errorTitle="Ошибка" error="Допускается ввод только неотрицательных чисел!" sqref="AE82">
      <formula1>0</formula1>
      <formula2>9.99999999999999E+23</formula2>
    </dataValidation>
    <dataValidation type="decimal" allowBlank="1" showErrorMessage="1" errorTitle="Ошибка" error="Допускается ввод только неотрицательных чисел!" sqref="AC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M80">
      <formula1>900</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textLength" operator="lessThanOrEqual" allowBlank="1" showInputMessage="1" showErrorMessage="1" errorTitle="Ошибка" error="Допускается ввод не более 900 символов!" sqref="K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decimal" allowBlank="1" showErrorMessage="1" errorTitle="Ошибка" error="Допускается ввод только неотрицательных чисел!" sqref="AE76">
      <formula1>0</formula1>
      <formula2>9.99999999999999E+23</formula2>
    </dataValidation>
    <dataValidation type="decimal" allowBlank="1" showErrorMessage="1" errorTitle="Ошибка" error="Допускается ввод только неотрицательных чисел!" sqref="AC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textLength" operator="lessThanOrEqual" allowBlank="1" showInputMessage="1" showErrorMessage="1" errorTitle="Ошибка" error="Допускается ввод не более 900 символов!" sqref="M74">
      <formula1>900</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M69">
      <formula1>900</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textLength" operator="lessThanOrEqual" allowBlank="1" showInputMessage="1" showErrorMessage="1" errorTitle="Ошибка" error="Допускается ввод не более 900 символов!" sqref="M63">
      <formula1>900</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M56">
      <formula1>900</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textLength" operator="lessThanOrEqual" allowBlank="1" showInputMessage="1" showErrorMessage="1" errorTitle="Ошибка" error="Допускается ввод не более 900 символов!" sqref="M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textLength" operator="lessThanOrEqual" allowBlank="1" showInputMessage="1" showErrorMessage="1" errorTitle="Ошибка" error="Допускается ввод не более 900 символов!" sqref="M87">
      <formula1>900</formula1>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textLength" operator="lessThanOrEqual" allowBlank="1" showInputMessage="1" showErrorMessage="1" errorTitle="Ошибка" error="Допускается ввод не более 900 символов!" sqref="K88">
      <formula1>900</formula1>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decimal" allowBlank="1" showErrorMessage="1" errorTitle="Ошибка" error="Допускается ввод только неотрицательных чисел!" sqref="AC89">
      <formula1>0</formula1>
      <formula2>9.99999999999999E+23</formula2>
    </dataValidation>
    <dataValidation type="decimal" allowBlank="1" showErrorMessage="1" errorTitle="Ошибка" error="Допускается ввод только неотрицательных чисел!" sqref="AE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textLength" operator="lessThanOrEqual" allowBlank="1" showInputMessage="1" showErrorMessage="1" errorTitle="Ошибка" error="Допускается ввод не более 900 символов!" sqref="K90">
      <formula1>900</formula1>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textLength" operator="lessThanOrEqual" allowBlank="1" showInputMessage="1" showErrorMessage="1" errorTitle="Ошибка" error="Допускается ввод не более 900 символов!" sqref="M27">
      <formula1>900</formula1>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textLength" operator="lessThanOrEqual" allowBlank="1" showInputMessage="1" showErrorMessage="1" errorTitle="Ошибка" error="Допускается ввод не более 900 символов!" sqref="K29">
      <formula1>900</formula1>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textLength" operator="lessThanOrEqual" allowBlank="1" showInputMessage="1" showErrorMessage="1" errorTitle="Ошибка" error="Допускается ввод не более 900 символов!" sqref="M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textLength" operator="lessThanOrEqual" allowBlank="1" showInputMessage="1" showErrorMessage="1" errorTitle="Ошибка" error="Допускается ввод не более 900 символов!" sqref="K34">
      <formula1>900</formula1>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textLength" operator="lessThanOrEqual" allowBlank="1" showInputMessage="1" showErrorMessage="1" errorTitle="Ошибка" error="Допускается ввод не более 900 символов!" sqref="M38">
      <formula1>900</formula1>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decimal" allowBlank="1" showErrorMessage="1" errorTitle="Ошибка" error="Допускается ввод только неотрицательных чисел!" sqref="AC40">
      <formula1>0</formula1>
      <formula2>9.99999999999999E+23</formula2>
    </dataValidation>
    <dataValidation type="decimal" allowBlank="1" showErrorMessage="1" errorTitle="Ошибка" error="Допускается ввод только неотрицательных чисел!" sqref="AE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textLength" operator="lessThanOrEqual" allowBlank="1" showInputMessage="1" showErrorMessage="1" errorTitle="Ошибка" error="Допускается ввод не более 900 символов!" sqref="M44">
      <formula1>900</formula1>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decimal" allowBlank="1" showErrorMessage="1" errorTitle="Ошибка" error="Допускается ввод только неотрицательных чисел!" sqref="AC46">
      <formula1>0</formula1>
      <formula2>9.99999999999999E+23</formula2>
    </dataValidation>
    <dataValidation type="decimal" allowBlank="1" showErrorMessage="1" errorTitle="Ошибка" error="Допускается ввод только неотрицательных чисел!" sqref="AE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textLength" operator="lessThanOrEqual" allowBlank="1" showInputMessage="1" showErrorMessage="1" errorTitle="Ошибка" error="Допускается ввод не более 900 символов!" sqref="K24">
      <formula1>900</formula1>
    </dataValidation>
    <dataValidation type="decimal" allowBlank="1" showErrorMessage="1" errorTitle="Ошибка" error="Допускается ввод только неотрицательных чисел!" sqref="AC24">
      <formula1>0</formula1>
      <formula2>9.99999999999999E+23</formula2>
    </dataValidation>
    <dataValidation type="decimal" allowBlank="1" showErrorMessage="1" errorTitle="Ошибка" error="Допускается ввод только неотрицательных чисел!" sqref="AE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decimal" allowBlank="1" showErrorMessage="1" errorTitle="Ошибка" error="Допускается ввод только неотрицательных чисел!" sqref="AC30">
      <formula1>0</formula1>
      <formula2>9.99999999999999E+23</formula2>
    </dataValidation>
    <dataValidation type="decimal" allowBlank="1" showErrorMessage="1" errorTitle="Ошибка" error="Допускается ввод только неотрицательных чисел!" sqref="AE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decimal" allowBlank="1" showErrorMessage="1" errorTitle="Ошибка" error="Допускается ввод только неотрицательных чисел!" sqref="AC41">
      <formula1>0</formula1>
      <formula2>9.99999999999999E+23</formula2>
    </dataValidation>
    <dataValidation type="decimal" allowBlank="1" showErrorMessage="1" errorTitle="Ошибка" error="Допускается ввод только неотрицательных чисел!" sqref="AE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decimal" allowBlank="1" showErrorMessage="1" errorTitle="Ошибка" error="Допускается ввод только неотрицательных чисел!" sqref="AC47">
      <formula1>0</formula1>
      <formula2>9.99999999999999E+23</formula2>
    </dataValidation>
    <dataValidation type="decimal" allowBlank="1" showErrorMessage="1" errorTitle="Ошибка" error="Допускается ввод только неотрицательных чисел!" sqref="AE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57A8B-80F2-99F2-1462-0.141E27FA}" mc:Ignorable="x14ac xr xr2 xr3">
  <sheetPr>
    <tabColor theme="9" tint="-0.25"/>
  </sheetPr>
  <dimension ref="A1:AB59"/>
  <sheetViews>
    <sheetView topLeftCell="A1" showGridLines="0" zoomScale="85" workbookViewId="0">
      <selection activeCell="N1" sqref="N1:N59"/>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4" style="1642" width="21.7109375" hidden="1" customWidth="1"/>
    <col min="15" max="15" style="1642" width="0.140625" customWidth="1"/>
    <col min="16" max="16" style="1642" width="1.00390625" customWidth="1"/>
    <col min="17" max="27" style="1642" width="8.00390625" customWidth="1"/>
    <col min="28" max="28" style="1642" width="9.140625" hidden="1"/>
  </cols>
  <sheetData>
    <row s="1373" customFormat="1" customHeight="1" ht="10.5" hidden="1">
      <c r="A1" s="1173"/>
      <c r="B1" s="1173"/>
      <c r="C1" s="1173"/>
      <c r="E1" s="544"/>
      <c r="K1" s="1373"/>
      <c r="L1" s="1373"/>
      <c r="M1" s="1373"/>
      <c r="N1" s="1373"/>
      <c r="O1" s="1373"/>
      <c r="AB1" s="1167" t="s">
        <v>14</v>
      </c>
    </row>
    <row customHeight="1" ht="10.5" hidden="1">
      <c r="K2" s="1642"/>
      <c r="L2" s="1642"/>
      <c r="M2" s="1642"/>
      <c r="N2" s="1642"/>
      <c r="O2" s="1642"/>
      <c r="AB2" s="1162">
        <v>0</v>
      </c>
    </row>
    <row s="1639" customFormat="1" customHeight="1" ht="10.5" hidden="1">
      <c r="A3" s="1173"/>
      <c r="B3" s="1173"/>
      <c r="C3" s="1173"/>
      <c r="D3" s="1167"/>
      <c r="E3" s="369"/>
      <c r="K3" s="1639"/>
      <c r="L3" s="1639"/>
      <c r="M3" s="1639"/>
      <c r="N3" s="1639"/>
      <c r="O3" s="1639"/>
      <c r="AB3" s="1163">
        <v>0</v>
      </c>
    </row>
    <row customHeight="1" ht="3">
      <c r="K4" s="1642"/>
      <c r="L4" s="1642"/>
      <c r="M4" s="1642"/>
      <c r="N4" s="1642"/>
      <c r="O4" s="1642"/>
      <c r="AB4" s="1162">
        <v>3</v>
      </c>
    </row>
    <row customHeight="1" ht="27.299999999999997">
      <c r="F5" s="226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68"/>
      <c r="H5" s="2268"/>
      <c r="I5" s="2268"/>
      <c r="J5" s="2268"/>
      <c r="K5" s="2268"/>
      <c r="L5" s="2268"/>
      <c r="M5" s="2268"/>
      <c r="N5" s="2268"/>
      <c r="O5" s="2268"/>
      <c r="AB5" s="1162">
        <v>26</v>
      </c>
    </row>
    <row customHeight="1" ht="10.5">
      <c r="F6" s="2196" t="str">
        <f>IF(org=0,"Не определено",org)</f>
        <v>ИМУП «ПОСЖИЛКОМСЕРВИС»</v>
      </c>
      <c r="G6" s="2196"/>
      <c r="H6" s="2196"/>
      <c r="I6" s="2196"/>
      <c r="J6" s="2196"/>
      <c r="K6" s="2269"/>
      <c r="L6" s="2269"/>
      <c r="M6" s="2269"/>
      <c r="N6" s="2269"/>
      <c r="O6" s="2269"/>
      <c r="AB6" s="1162">
        <v>10</v>
      </c>
    </row>
    <row customHeight="1" ht="11.549999999999999">
      <c r="E7" s="1177"/>
      <c r="F7" s="1234"/>
      <c r="G7" s="1234"/>
      <c r="H7" s="1234"/>
      <c r="I7" s="1234"/>
      <c r="J7" s="1234"/>
      <c r="K7" s="1234" t="s">
        <v>22</v>
      </c>
      <c r="L7" s="1234"/>
      <c r="M7" s="1234" t="s">
        <v>22</v>
      </c>
      <c r="N7" s="1234" t="s">
        <v>22</v>
      </c>
      <c r="O7" s="1234"/>
      <c r="P7" s="1164"/>
      <c r="Q7" s="1164"/>
      <c r="R7" s="1164"/>
      <c r="S7" s="1164"/>
      <c r="T7" s="1164"/>
      <c r="U7" s="1164"/>
      <c r="V7" s="1164"/>
      <c r="W7" s="1164"/>
      <c r="X7" s="1164"/>
      <c r="Y7" s="1164"/>
      <c r="Z7" s="1164"/>
      <c r="AA7" s="1164"/>
      <c r="AB7" s="1162">
        <v>11</v>
      </c>
    </row>
    <row s="1649" customFormat="1" customHeight="1" ht="4.2">
      <c r="A8" s="1174"/>
      <c r="B8" s="1174"/>
      <c r="C8" s="1174"/>
      <c r="E8" s="1235"/>
      <c r="F8" s="1236"/>
      <c r="G8" s="1236"/>
      <c r="H8" s="1236"/>
      <c r="I8" s="1236"/>
      <c r="J8" s="1236"/>
      <c r="K8" s="1236" t="s">
        <v>1044</v>
      </c>
      <c r="L8" s="1236"/>
      <c r="M8" s="1236"/>
      <c r="N8" s="1236"/>
      <c r="O8" s="1236"/>
      <c r="P8" s="1235"/>
      <c r="Q8" s="1235"/>
      <c r="R8" s="1235"/>
      <c r="S8" s="1235"/>
      <c r="T8" s="1235"/>
      <c r="U8" s="1235"/>
      <c r="V8" s="1235"/>
      <c r="W8" s="1235"/>
      <c r="X8" s="1235"/>
      <c r="Y8" s="1235"/>
      <c r="Z8" s="1235"/>
      <c r="AA8" s="1235"/>
      <c r="AB8" s="518">
        <v>4</v>
      </c>
    </row>
    <row customHeight="1" ht="10.5">
      <c r="E9" s="1177"/>
      <c r="F9" s="2439" t="s">
        <v>299</v>
      </c>
      <c r="G9" s="2440"/>
      <c r="H9" s="2440"/>
      <c r="I9" s="2440"/>
      <c r="J9" s="2440"/>
      <c r="K9" s="2440"/>
      <c r="L9" s="2440"/>
      <c r="M9" s="2440"/>
      <c r="N9" s="2440"/>
      <c r="O9" s="2440"/>
      <c r="P9" s="1247"/>
      <c r="Q9" s="1164"/>
      <c r="R9" s="1164"/>
      <c r="S9" s="1164"/>
      <c r="T9" s="1164"/>
      <c r="U9" s="1164"/>
      <c r="V9" s="1164"/>
      <c r="W9" s="1164"/>
      <c r="X9" s="1164"/>
      <c r="Y9" s="1164"/>
      <c r="Z9" s="1164"/>
      <c r="AA9" s="1164"/>
      <c r="AB9" s="1162">
        <v>10</v>
      </c>
    </row>
    <row customHeight="1" ht="25.2">
      <c r="E10" s="1164"/>
      <c r="F10" s="2443" t="s">
        <v>87</v>
      </c>
      <c r="G10" s="2448" t="s">
        <v>1108</v>
      </c>
      <c r="H10" s="2446" t="s">
        <v>1109</v>
      </c>
      <c r="I10" s="2446"/>
      <c r="J10" s="2446"/>
      <c r="K10" s="2446" t="s">
        <v>1109</v>
      </c>
      <c r="L10" s="2446"/>
      <c r="M10" s="2446"/>
      <c r="N10" s="2446"/>
      <c r="O10" s="2446"/>
      <c r="P10" s="1240"/>
      <c r="Q10" s="1164"/>
      <c r="R10" s="1164"/>
      <c r="S10" s="1164"/>
      <c r="T10" s="1164"/>
      <c r="U10" s="1164"/>
      <c r="V10" s="1164"/>
      <c r="W10" s="1164"/>
      <c r="X10" s="1164"/>
      <c r="Y10" s="1164"/>
      <c r="Z10" s="1164"/>
      <c r="AA10" s="1164"/>
      <c r="AB10" s="1162">
        <v>24</v>
      </c>
    </row>
    <row customHeight="1" ht="25.5">
      <c r="E11" s="1164"/>
      <c r="F11" s="2444"/>
      <c r="G11" s="2448"/>
      <c r="H11" s="2447">
        <f>INDEX(IP_MAIN_LIST_NAME_IP,MATCH(H8,IP_MAIN_LIST_IP_ID,0))&amp;" ("&amp;INDEX(IP_MAIN_START_DATE,MATCH(H8,IP_MAIN_LIST_IP_ID,0))&amp;"-"&amp;INDEX(IP_MAIN_END_DATE,MATCH(H8,IP_MAIN_LIST_IP_ID,0))&amp;")"</f>
      </c>
      <c r="I11" s="2447"/>
      <c r="J11" s="2447"/>
      <c r="K11" s="2447" t="str">
        <f>INDEX(IP_MAIN_LIST_NAME_IP,MATCH(K8,IP_MAIN_LIST_IP_ID,0))&amp;" ("&amp;INDEX(IP_MAIN_START_DATE,MATCH(K8,IP_MAIN_LIST_IP_ID,0))&amp;"-"&amp;INDEX(IP_MAIN_END_DATE,MATCH(K8,IP_MAIN_LIST_IP_ID,0))&amp;")"</f>
        <v>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 (01.01.2024-31.12.2026)</v>
      </c>
      <c r="L11" s="2447"/>
      <c r="M11" s="2447"/>
      <c r="N11" s="2447"/>
      <c r="O11" s="2447"/>
      <c r="P11" s="1240"/>
      <c r="Q11" s="1164"/>
      <c r="R11" s="1164"/>
      <c r="S11" s="1164"/>
      <c r="T11" s="1164"/>
      <c r="U11" s="1164"/>
      <c r="V11" s="1164"/>
      <c r="W11" s="1164"/>
      <c r="X11" s="1164"/>
      <c r="Y11" s="1164"/>
      <c r="Z11" s="1164"/>
      <c r="AA11" s="1164"/>
      <c r="AB11" s="1162">
        <v>24</v>
      </c>
    </row>
    <row customHeight="1" ht="10.5">
      <c r="F12" s="2445"/>
      <c r="G12" s="2448"/>
      <c r="H12" s="1233" t="s">
        <v>1110</v>
      </c>
      <c r="I12" s="1239"/>
      <c r="J12" s="1233"/>
      <c r="K12" s="2448" t="s">
        <v>1110</v>
      </c>
      <c r="L12" s="1239">
        <v>2024</v>
      </c>
      <c r="M12" s="1239">
        <v>2025</v>
      </c>
      <c r="N12" s="1239">
        <v>2026</v>
      </c>
      <c r="O12" s="2448"/>
      <c r="P12" s="1241"/>
      <c r="AB12" s="1162">
        <v>10</v>
      </c>
    </row>
    <row customHeight="1" ht="10.5" hidden="1">
      <c r="F13" s="1233">
        <v>1</v>
      </c>
      <c r="G13" s="1233">
        <v>2</v>
      </c>
      <c r="H13" s="1233">
        <v>3</v>
      </c>
      <c r="I13" s="1233">
        <v>4</v>
      </c>
      <c r="J13" s="1233">
        <v>5</v>
      </c>
      <c r="K13" s="2448">
        <v>3</v>
      </c>
      <c r="L13" s="2448">
        <v>4</v>
      </c>
      <c r="M13" s="2448">
        <v>4</v>
      </c>
      <c r="N13" s="2448">
        <v>4</v>
      </c>
      <c r="O13" s="2448">
        <v>5</v>
      </c>
      <c r="P13" s="1241"/>
      <c r="AB13" s="1162">
        <v>0</v>
      </c>
    </row>
    <row customHeight="1" ht="11.549999999999999">
      <c r="F14" s="1232" t="s">
        <v>1111</v>
      </c>
      <c r="G14" s="2441" t="s">
        <v>1112</v>
      </c>
      <c r="H14" s="2441"/>
      <c r="I14" s="2441"/>
      <c r="J14" s="2441"/>
      <c r="K14" s="2441"/>
      <c r="L14" s="2441"/>
      <c r="M14" s="2441"/>
      <c r="N14" s="2441"/>
      <c r="O14" s="2441"/>
      <c r="P14" s="1241"/>
      <c r="AB14" s="1162">
        <v>11</v>
      </c>
    </row>
    <row customHeight="1" ht="11.549999999999999">
      <c r="F15" s="1237">
        <v>1</v>
      </c>
      <c r="G15" s="697" t="s">
        <v>1113</v>
      </c>
      <c r="H15" s="1243">
        <f>SUM(I15:J15)</f>
        <v>0</v>
      </c>
      <c r="I15" s="1243">
        <f>SUM(I16:I27)</f>
        <v>0</v>
      </c>
      <c r="J15" s="1232"/>
      <c r="K15" s="1243">
        <f>SUM(L15:O15)</f>
        <v>0</v>
      </c>
      <c r="L15" s="1243">
        <f>SUM(L16:L27)</f>
        <v>0</v>
      </c>
      <c r="M15" s="1243">
        <f>SUM(M16:M27)</f>
        <v>0</v>
      </c>
      <c r="N15" s="1243">
        <f>SUM(N16:N27)</f>
        <v>0</v>
      </c>
      <c r="O15" s="2446"/>
      <c r="P15" s="1241"/>
      <c r="AB15" s="1162">
        <v>11</v>
      </c>
    </row>
    <row customHeight="1" ht="24">
      <c r="F16" s="1237" t="s">
        <v>1114</v>
      </c>
      <c r="G16" s="1244" t="s">
        <v>1115</v>
      </c>
      <c r="H16" s="1243">
        <f>SUM(I16:J16)</f>
        <v>0</v>
      </c>
      <c r="I16" s="1242"/>
      <c r="J16" s="1232"/>
      <c r="K16" s="1243">
        <f>SUM(L16:O16)</f>
        <v>0</v>
      </c>
      <c r="L16" s="1242"/>
      <c r="M16" s="1242"/>
      <c r="N16" s="1242"/>
      <c r="O16" s="2446"/>
      <c r="P16" s="1241"/>
      <c r="AB16" s="1162">
        <v>23</v>
      </c>
    </row>
    <row customHeight="1" ht="24">
      <c r="F17" s="1237" t="s">
        <v>1116</v>
      </c>
      <c r="G17" s="1244" t="s">
        <v>1117</v>
      </c>
      <c r="H17" s="1243">
        <f>SUM(I17:J17)</f>
        <v>0</v>
      </c>
      <c r="I17" s="1242"/>
      <c r="J17" s="1232"/>
      <c r="K17" s="1243">
        <f>SUM(L17:O17)</f>
        <v>0</v>
      </c>
      <c r="L17" s="1242"/>
      <c r="M17" s="1242"/>
      <c r="N17" s="1242"/>
      <c r="O17" s="2446"/>
      <c r="P17" s="1241"/>
      <c r="AB17" s="1162">
        <v>23</v>
      </c>
    </row>
    <row customHeight="1" ht="35.699999999999996">
      <c r="F18" s="1237" t="s">
        <v>1118</v>
      </c>
      <c r="G18" s="1244" t="s">
        <v>1119</v>
      </c>
      <c r="H18" s="1243">
        <f>SUM(I18:J18)</f>
        <v>0</v>
      </c>
      <c r="I18" s="1242"/>
      <c r="J18" s="1232"/>
      <c r="K18" s="1243">
        <f>SUM(L18:O18)</f>
        <v>0</v>
      </c>
      <c r="L18" s="1242"/>
      <c r="M18" s="1242"/>
      <c r="N18" s="1242"/>
      <c r="O18" s="2446"/>
      <c r="P18" s="1241"/>
      <c r="AB18" s="1162">
        <v>34</v>
      </c>
    </row>
    <row customHeight="1" ht="35.699999999999996">
      <c r="F19" s="1237" t="s">
        <v>1120</v>
      </c>
      <c r="G19" s="1244" t="s">
        <v>1121</v>
      </c>
      <c r="H19" s="1243">
        <f>SUM(I19:J19)</f>
        <v>0</v>
      </c>
      <c r="I19" s="1242"/>
      <c r="J19" s="1232"/>
      <c r="K19" s="1243">
        <f>SUM(L19:O19)</f>
        <v>0</v>
      </c>
      <c r="L19" s="1242"/>
      <c r="M19" s="1242"/>
      <c r="N19" s="1242"/>
      <c r="O19" s="2446"/>
      <c r="P19" s="1241"/>
      <c r="AB19" s="1162">
        <v>34</v>
      </c>
    </row>
    <row customHeight="1" ht="48.29999999999999">
      <c r="F20" s="1237" t="s">
        <v>1122</v>
      </c>
      <c r="G20" s="1244" t="s">
        <v>1123</v>
      </c>
      <c r="H20" s="1243">
        <f>SUM(I20:J20)</f>
        <v>0</v>
      </c>
      <c r="I20" s="1242"/>
      <c r="J20" s="1232"/>
      <c r="K20" s="1243">
        <f>SUM(L20:O20)</f>
        <v>0</v>
      </c>
      <c r="L20" s="1242"/>
      <c r="M20" s="1242"/>
      <c r="N20" s="1242"/>
      <c r="O20" s="2446"/>
      <c r="P20" s="1241"/>
      <c r="AB20" s="1162">
        <v>46</v>
      </c>
    </row>
    <row customHeight="1" ht="35.699999999999996">
      <c r="F21" s="1237" t="s">
        <v>1124</v>
      </c>
      <c r="G21" s="1244" t="s">
        <v>1125</v>
      </c>
      <c r="H21" s="1243">
        <f>SUM(I21:J21)</f>
        <v>0</v>
      </c>
      <c r="I21" s="1242"/>
      <c r="J21" s="1232"/>
      <c r="K21" s="1243">
        <f>SUM(L21:O21)</f>
        <v>0</v>
      </c>
      <c r="L21" s="1242"/>
      <c r="M21" s="1242"/>
      <c r="N21" s="1242"/>
      <c r="O21" s="2446"/>
      <c r="P21" s="1241"/>
      <c r="AB21" s="1162">
        <v>34</v>
      </c>
    </row>
    <row customHeight="1" ht="35.699999999999996">
      <c r="F22" s="1237" t="s">
        <v>1126</v>
      </c>
      <c r="G22" s="1244" t="s">
        <v>1127</v>
      </c>
      <c r="H22" s="1243">
        <f>SUM(I22:J22)</f>
        <v>0</v>
      </c>
      <c r="I22" s="1242"/>
      <c r="J22" s="1232"/>
      <c r="K22" s="1243">
        <f>SUM(L22:O22)</f>
        <v>0</v>
      </c>
      <c r="L22" s="1242"/>
      <c r="M22" s="1242"/>
      <c r="N22" s="1242"/>
      <c r="O22" s="2446"/>
      <c r="P22" s="1241"/>
      <c r="AB22" s="1162">
        <v>34</v>
      </c>
    </row>
    <row customHeight="1" ht="24">
      <c r="F23" s="1237" t="s">
        <v>1128</v>
      </c>
      <c r="G23" s="1244" t="s">
        <v>1129</v>
      </c>
      <c r="H23" s="1243">
        <f>SUM(I23:J23)</f>
        <v>0</v>
      </c>
      <c r="I23" s="1242"/>
      <c r="J23" s="1232"/>
      <c r="K23" s="1243">
        <f>SUM(L23:O23)</f>
        <v>0</v>
      </c>
      <c r="L23" s="1242"/>
      <c r="M23" s="1242"/>
      <c r="N23" s="1242"/>
      <c r="O23" s="2446"/>
      <c r="P23" s="1241"/>
      <c r="AB23" s="1162">
        <v>23</v>
      </c>
    </row>
    <row customHeight="1" ht="24">
      <c r="F24" s="1237" t="s">
        <v>1130</v>
      </c>
      <c r="G24" s="1244" t="s">
        <v>1131</v>
      </c>
      <c r="H24" s="1243">
        <f>SUM(I24:J24)</f>
        <v>0</v>
      </c>
      <c r="I24" s="1242"/>
      <c r="J24" s="1232"/>
      <c r="K24" s="1243">
        <f>SUM(L24:O24)</f>
        <v>0</v>
      </c>
      <c r="L24" s="1242"/>
      <c r="M24" s="1242"/>
      <c r="N24" s="1242"/>
      <c r="O24" s="2446"/>
      <c r="P24" s="1241"/>
      <c r="AB24" s="1162">
        <v>23</v>
      </c>
    </row>
    <row customHeight="1" ht="35.699999999999996">
      <c r="F25" s="1237" t="s">
        <v>1132</v>
      </c>
      <c r="G25" s="1244" t="s">
        <v>1133</v>
      </c>
      <c r="H25" s="1243">
        <f>SUM(I25:J25)</f>
        <v>0</v>
      </c>
      <c r="I25" s="1242"/>
      <c r="J25" s="1232"/>
      <c r="K25" s="1243">
        <f>SUM(L25:O25)</f>
        <v>0</v>
      </c>
      <c r="L25" s="1242"/>
      <c r="M25" s="1242"/>
      <c r="N25" s="1242"/>
      <c r="O25" s="2446"/>
      <c r="P25" s="1241"/>
      <c r="AB25" s="1162">
        <v>34</v>
      </c>
    </row>
    <row customHeight="1" ht="35.699999999999996">
      <c r="F26" s="1237" t="s">
        <v>1134</v>
      </c>
      <c r="G26" s="1244" t="s">
        <v>1135</v>
      </c>
      <c r="H26" s="1243">
        <f>SUM(I26:J26)</f>
        <v>0</v>
      </c>
      <c r="I26" s="1242"/>
      <c r="J26" s="1232"/>
      <c r="K26" s="1243">
        <f>SUM(L26:O26)</f>
        <v>0</v>
      </c>
      <c r="L26" s="1242"/>
      <c r="M26" s="1242"/>
      <c r="N26" s="1242"/>
      <c r="O26" s="2446"/>
      <c r="P26" s="1241"/>
      <c r="AB26" s="1162">
        <v>34</v>
      </c>
    </row>
    <row customHeight="1" ht="11.549999999999999">
      <c r="F27" s="1237" t="s">
        <v>1136</v>
      </c>
      <c r="G27" s="1244" t="s">
        <v>1137</v>
      </c>
      <c r="H27" s="1243">
        <f>SUM(I27:J27)</f>
        <v>0</v>
      </c>
      <c r="I27" s="1242"/>
      <c r="J27" s="1232"/>
      <c r="K27" s="1243">
        <f>SUM(L27:O27)</f>
        <v>0</v>
      </c>
      <c r="L27" s="1242"/>
      <c r="M27" s="1242"/>
      <c r="N27" s="1242"/>
      <c r="O27" s="2446"/>
      <c r="P27" s="1241"/>
      <c r="AB27" s="1162">
        <v>11</v>
      </c>
    </row>
    <row customHeight="1" ht="11.549999999999999">
      <c r="F28" s="1237">
        <v>2</v>
      </c>
      <c r="G28" s="697" t="s">
        <v>1138</v>
      </c>
      <c r="H28" s="1243">
        <f>SUM(I28:J28)</f>
        <v>0</v>
      </c>
      <c r="I28" s="1243">
        <f>SUM(I29:I31)</f>
        <v>0</v>
      </c>
      <c r="J28" s="1232"/>
      <c r="K28" s="1243">
        <f>SUM(L28:O28)</f>
        <v>0</v>
      </c>
      <c r="L28" s="1243">
        <f>SUM(L29:L31)</f>
        <v>0</v>
      </c>
      <c r="M28" s="1243">
        <f>SUM(M29:M31)</f>
        <v>0</v>
      </c>
      <c r="N28" s="1243">
        <f>SUM(N29:N31)</f>
        <v>0</v>
      </c>
      <c r="O28" s="2446"/>
      <c r="P28" s="1241"/>
      <c r="AB28" s="1162">
        <v>11</v>
      </c>
    </row>
    <row customHeight="1" ht="11.549999999999999">
      <c r="F29" s="1237" t="s">
        <v>737</v>
      </c>
      <c r="G29" s="1244" t="s">
        <v>1139</v>
      </c>
      <c r="H29" s="1243">
        <f>SUM(I29:J29)</f>
        <v>0</v>
      </c>
      <c r="I29" s="1242"/>
      <c r="J29" s="1232"/>
      <c r="K29" s="1243">
        <f>SUM(L29:O29)</f>
        <v>0</v>
      </c>
      <c r="L29" s="1242"/>
      <c r="M29" s="1242"/>
      <c r="N29" s="1242"/>
      <c r="O29" s="2446"/>
      <c r="P29" s="1241"/>
      <c r="AB29" s="1162">
        <v>11</v>
      </c>
    </row>
    <row customHeight="1" ht="11.549999999999999">
      <c r="F30" s="1237" t="s">
        <v>306</v>
      </c>
      <c r="G30" s="1244" t="s">
        <v>1140</v>
      </c>
      <c r="H30" s="1243">
        <f>SUM(I30:J30)</f>
        <v>0</v>
      </c>
      <c r="I30" s="1242"/>
      <c r="J30" s="1232"/>
      <c r="K30" s="1243">
        <f>SUM(L30:O30)</f>
        <v>0</v>
      </c>
      <c r="L30" s="1242"/>
      <c r="M30" s="1242"/>
      <c r="N30" s="1242"/>
      <c r="O30" s="2446"/>
      <c r="P30" s="1241"/>
      <c r="AB30" s="1162">
        <v>11</v>
      </c>
    </row>
    <row customHeight="1" ht="11.549999999999999">
      <c r="F31" s="1237" t="s">
        <v>309</v>
      </c>
      <c r="G31" s="1244" t="s">
        <v>1141</v>
      </c>
      <c r="H31" s="1243">
        <f>SUM(I31:J31)</f>
        <v>0</v>
      </c>
      <c r="I31" s="1242"/>
      <c r="J31" s="1232"/>
      <c r="K31" s="1243">
        <f>SUM(L31:O31)</f>
        <v>0</v>
      </c>
      <c r="L31" s="1242"/>
      <c r="M31" s="1242"/>
      <c r="N31" s="1242"/>
      <c r="O31" s="2446"/>
      <c r="P31" s="1241"/>
      <c r="AB31" s="1162">
        <v>11</v>
      </c>
    </row>
    <row customHeight="1" ht="11.549999999999999">
      <c r="F32" s="1237">
        <v>3</v>
      </c>
      <c r="G32" s="697" t="s">
        <v>1142</v>
      </c>
      <c r="H32" s="1243">
        <f>SUM(I32:J32)</f>
        <v>0</v>
      </c>
      <c r="I32" s="1243">
        <f>SUM(I33:I34)</f>
        <v>0</v>
      </c>
      <c r="J32" s="1232"/>
      <c r="K32" s="1243">
        <f>SUM(L32:O32)</f>
        <v>0</v>
      </c>
      <c r="L32" s="1243">
        <f>SUM(L33:L34)</f>
        <v>0</v>
      </c>
      <c r="M32" s="1243">
        <f>SUM(M33:M34)</f>
        <v>0</v>
      </c>
      <c r="N32" s="1243">
        <f>SUM(N33:N34)</f>
        <v>0</v>
      </c>
      <c r="O32" s="2446"/>
      <c r="P32" s="1241"/>
      <c r="AB32" s="1162">
        <v>11</v>
      </c>
    </row>
    <row customHeight="1" ht="48.29999999999999">
      <c r="F33" s="1237" t="s">
        <v>323</v>
      </c>
      <c r="G33" s="1244" t="s">
        <v>1143</v>
      </c>
      <c r="H33" s="1243">
        <f>SUM(I33:J33)</f>
        <v>0</v>
      </c>
      <c r="I33" s="1242"/>
      <c r="J33" s="1232"/>
      <c r="K33" s="1243">
        <f>SUM(L33:O33)</f>
        <v>0</v>
      </c>
      <c r="L33" s="1242"/>
      <c r="M33" s="1242"/>
      <c r="N33" s="1242"/>
      <c r="O33" s="2446"/>
      <c r="P33" s="1241"/>
      <c r="AB33" s="1162">
        <v>46</v>
      </c>
    </row>
    <row customHeight="1" ht="11.549999999999999">
      <c r="F34" s="1237" t="s">
        <v>331</v>
      </c>
      <c r="G34" s="1244" t="s">
        <v>1144</v>
      </c>
      <c r="H34" s="1243">
        <f>SUM(I34:J34)</f>
        <v>0</v>
      </c>
      <c r="I34" s="1242"/>
      <c r="J34" s="1232"/>
      <c r="K34" s="1243">
        <f>SUM(L34:O34)</f>
        <v>0</v>
      </c>
      <c r="L34" s="1242"/>
      <c r="M34" s="1242"/>
      <c r="N34" s="1242"/>
      <c r="O34" s="2446"/>
      <c r="P34" s="1241"/>
      <c r="AB34" s="1162">
        <v>11</v>
      </c>
    </row>
    <row customHeight="1" ht="11.549999999999999">
      <c r="F35" s="1237">
        <v>4</v>
      </c>
      <c r="G35" s="697" t="s">
        <v>1145</v>
      </c>
      <c r="H35" s="1243">
        <f>SUM(I35:J35)</f>
        <v>0</v>
      </c>
      <c r="I35" s="1242"/>
      <c r="J35" s="1232"/>
      <c r="K35" s="1243">
        <f>SUM(L35:O35)</f>
        <v>0</v>
      </c>
      <c r="L35" s="1242"/>
      <c r="M35" s="1242"/>
      <c r="N35" s="1242"/>
      <c r="O35" s="2446"/>
      <c r="P35" s="1241"/>
      <c r="AB35" s="1162">
        <v>11</v>
      </c>
    </row>
    <row customHeight="1" ht="11.549999999999999">
      <c r="F36" s="1237"/>
      <c r="G36" s="700" t="s">
        <v>1146</v>
      </c>
      <c r="H36" s="1243">
        <f>SUM(I36:J36)</f>
        <v>0</v>
      </c>
      <c r="I36" s="1243">
        <f>SUM(I15,I28,I32,I35)</f>
        <v>0</v>
      </c>
      <c r="J36" s="1232"/>
      <c r="K36" s="1243">
        <f>SUM(L36:O36)</f>
        <v>0</v>
      </c>
      <c r="L36" s="1243">
        <f>SUM(L15,L28,L32,L35)</f>
        <v>0</v>
      </c>
      <c r="M36" s="1243">
        <f>SUM(M15,M28,M32,M35)</f>
        <v>0</v>
      </c>
      <c r="N36" s="1243">
        <f>SUM(N15,N28,N32,N35)</f>
        <v>0</v>
      </c>
      <c r="O36" s="2446"/>
      <c r="P36" s="1241"/>
      <c r="AB36" s="1162">
        <v>11</v>
      </c>
    </row>
    <row customHeight="1" ht="29.25">
      <c r="F37" s="1238" t="s">
        <v>1147</v>
      </c>
      <c r="G37" s="2442" t="s">
        <v>1148</v>
      </c>
      <c r="H37" s="2442"/>
      <c r="I37" s="2442"/>
      <c r="J37" s="2442"/>
      <c r="K37" s="2442"/>
      <c r="L37" s="2442"/>
      <c r="M37" s="2442"/>
      <c r="N37" s="2442"/>
      <c r="O37" s="2442"/>
      <c r="P37" s="1241"/>
      <c r="AB37" s="1162">
        <v>28</v>
      </c>
    </row>
    <row customHeight="1" ht="24">
      <c r="F38" s="1237" t="s">
        <v>109</v>
      </c>
      <c r="G38" s="697" t="s">
        <v>1149</v>
      </c>
      <c r="H38" s="1243">
        <f>SUM(I38:J38)</f>
        <v>0</v>
      </c>
      <c r="I38" s="1243">
        <f>SUM(I39,I44,I47)</f>
        <v>0</v>
      </c>
      <c r="J38" s="1232"/>
      <c r="K38" s="1243">
        <f>SUM(L38:O38)</f>
        <v>0</v>
      </c>
      <c r="L38" s="1243">
        <f>SUM(L39,L44,L47)</f>
        <v>0</v>
      </c>
      <c r="M38" s="1243">
        <f>SUM(M39,M44,M47)</f>
        <v>0</v>
      </c>
      <c r="N38" s="1243">
        <f>SUM(N39,N44,N47)</f>
        <v>0</v>
      </c>
      <c r="O38" s="2446"/>
      <c r="P38" s="1241"/>
      <c r="AB38" s="1162">
        <v>23</v>
      </c>
    </row>
    <row customHeight="1" ht="11.549999999999999">
      <c r="F39" s="1237" t="s">
        <v>1114</v>
      </c>
      <c r="G39" s="1244" t="s">
        <v>1113</v>
      </c>
      <c r="H39" s="1243">
        <f>SUM(I39:J39)</f>
        <v>0</v>
      </c>
      <c r="I39" s="1243">
        <f>SUM(I40:I43)</f>
        <v>0</v>
      </c>
      <c r="J39" s="1232"/>
      <c r="K39" s="1243">
        <f>SUM(L39:O39)</f>
        <v>0</v>
      </c>
      <c r="L39" s="1243">
        <f>SUM(L40:L43)</f>
        <v>0</v>
      </c>
      <c r="M39" s="1243">
        <f>SUM(M40:M43)</f>
        <v>0</v>
      </c>
      <c r="N39" s="1243">
        <f>SUM(N40:N43)</f>
        <v>0</v>
      </c>
      <c r="O39" s="2446"/>
      <c r="P39" s="1241"/>
      <c r="AB39" s="1162">
        <v>11</v>
      </c>
    </row>
    <row customHeight="1" ht="24">
      <c r="F40" s="1237" t="s">
        <v>1150</v>
      </c>
      <c r="G40" s="1245" t="s">
        <v>1151</v>
      </c>
      <c r="H40" s="1243">
        <f>SUM(I40:J40)</f>
        <v>0</v>
      </c>
      <c r="I40" s="1242"/>
      <c r="J40" s="1232"/>
      <c r="K40" s="1243">
        <f>SUM(L40:O40)</f>
        <v>0</v>
      </c>
      <c r="L40" s="1242"/>
      <c r="M40" s="1242"/>
      <c r="N40" s="1242"/>
      <c r="O40" s="2446"/>
      <c r="P40" s="1241"/>
      <c r="AB40" s="1162">
        <v>23</v>
      </c>
    </row>
    <row customHeight="1" ht="11.549999999999999">
      <c r="F41" s="1237" t="s">
        <v>1152</v>
      </c>
      <c r="G41" s="1245" t="s">
        <v>1153</v>
      </c>
      <c r="H41" s="1243">
        <f>SUM(I41:J41)</f>
        <v>0</v>
      </c>
      <c r="I41" s="1242"/>
      <c r="J41" s="1232"/>
      <c r="K41" s="1243">
        <f>SUM(L41:O41)</f>
        <v>0</v>
      </c>
      <c r="L41" s="1242"/>
      <c r="M41" s="1242"/>
      <c r="N41" s="1242"/>
      <c r="O41" s="2446"/>
      <c r="P41" s="1241"/>
      <c r="AB41" s="1162">
        <v>11</v>
      </c>
    </row>
    <row customHeight="1" ht="11.549999999999999">
      <c r="F42" s="1237" t="s">
        <v>1154</v>
      </c>
      <c r="G42" s="1245" t="s">
        <v>1155</v>
      </c>
      <c r="H42" s="1243">
        <f>SUM(I42:J42)</f>
        <v>0</v>
      </c>
      <c r="I42" s="1242"/>
      <c r="J42" s="1232"/>
      <c r="K42" s="1243">
        <f>SUM(L42:O42)</f>
        <v>0</v>
      </c>
      <c r="L42" s="1242"/>
      <c r="M42" s="1242"/>
      <c r="N42" s="1242"/>
      <c r="O42" s="2446"/>
      <c r="P42" s="1241"/>
      <c r="AB42" s="1162">
        <v>11</v>
      </c>
    </row>
    <row customHeight="1" ht="35.699999999999996">
      <c r="F43" s="1237" t="s">
        <v>1156</v>
      </c>
      <c r="G43" s="1245" t="s">
        <v>1157</v>
      </c>
      <c r="H43" s="1243">
        <f>SUM(I43:J43)</f>
        <v>0</v>
      </c>
      <c r="I43" s="1242"/>
      <c r="J43" s="1232"/>
      <c r="K43" s="1243">
        <f>SUM(L43:O43)</f>
        <v>0</v>
      </c>
      <c r="L43" s="1242"/>
      <c r="M43" s="1242"/>
      <c r="N43" s="1242"/>
      <c r="O43" s="2446"/>
      <c r="P43" s="1241"/>
      <c r="AB43" s="1162">
        <v>34</v>
      </c>
    </row>
    <row customHeight="1" ht="11.549999999999999">
      <c r="F44" s="1237" t="s">
        <v>1116</v>
      </c>
      <c r="G44" s="1244" t="s">
        <v>1142</v>
      </c>
      <c r="H44" s="1243">
        <f>SUM(I44:J44)</f>
        <v>0</v>
      </c>
      <c r="I44" s="1243">
        <f>SUM(I45:I46)</f>
        <v>0</v>
      </c>
      <c r="J44" s="1232"/>
      <c r="K44" s="1243">
        <f>SUM(L44:O44)</f>
        <v>0</v>
      </c>
      <c r="L44" s="1243">
        <f>SUM(L45:L46)</f>
        <v>0</v>
      </c>
      <c r="M44" s="1243">
        <f>SUM(M45:M46)</f>
        <v>0</v>
      </c>
      <c r="N44" s="1243">
        <f>SUM(N45:N46)</f>
        <v>0</v>
      </c>
      <c r="O44" s="2446"/>
      <c r="P44" s="1241"/>
      <c r="AB44" s="1162">
        <v>11</v>
      </c>
    </row>
    <row customHeight="1" ht="48.29999999999999">
      <c r="F45" s="1237" t="s">
        <v>1158</v>
      </c>
      <c r="G45" s="1245" t="s">
        <v>1143</v>
      </c>
      <c r="H45" s="1243">
        <f>SUM(I45:J45)</f>
        <v>0</v>
      </c>
      <c r="I45" s="1242"/>
      <c r="J45" s="1232"/>
      <c r="K45" s="1243">
        <f>SUM(L45:O45)</f>
        <v>0</v>
      </c>
      <c r="L45" s="1242"/>
      <c r="M45" s="1242"/>
      <c r="N45" s="1242"/>
      <c r="O45" s="2446"/>
      <c r="P45" s="1241"/>
      <c r="AB45" s="1162">
        <v>46</v>
      </c>
    </row>
    <row customHeight="1" ht="11.549999999999999">
      <c r="F46" s="1237" t="s">
        <v>1159</v>
      </c>
      <c r="G46" s="1245" t="s">
        <v>1144</v>
      </c>
      <c r="H46" s="1243">
        <f>SUM(I46:J46)</f>
        <v>0</v>
      </c>
      <c r="I46" s="1242"/>
      <c r="J46" s="1232"/>
      <c r="K46" s="1243">
        <f>SUM(L46:O46)</f>
        <v>0</v>
      </c>
      <c r="L46" s="1242"/>
      <c r="M46" s="1242"/>
      <c r="N46" s="1242"/>
      <c r="O46" s="2446"/>
      <c r="P46" s="1241"/>
      <c r="AB46" s="1162">
        <v>11</v>
      </c>
    </row>
    <row customHeight="1" ht="11.549999999999999">
      <c r="F47" s="1237" t="s">
        <v>1118</v>
      </c>
      <c r="G47" s="1244" t="s">
        <v>1160</v>
      </c>
      <c r="H47" s="1243">
        <f>SUM(I47:J47)</f>
        <v>0</v>
      </c>
      <c r="I47" s="1242"/>
      <c r="J47" s="1232"/>
      <c r="K47" s="1243">
        <f>SUM(L47:O47)</f>
        <v>0</v>
      </c>
      <c r="L47" s="1242"/>
      <c r="M47" s="1242"/>
      <c r="N47" s="1242"/>
      <c r="O47" s="2446"/>
      <c r="P47" s="1241"/>
      <c r="AB47" s="1162">
        <v>11</v>
      </c>
    </row>
    <row customHeight="1" ht="24">
      <c r="F48" s="1237" t="s">
        <v>110</v>
      </c>
      <c r="G48" s="697" t="s">
        <v>1161</v>
      </c>
      <c r="H48" s="1243">
        <f>SUM(I48:J48)</f>
        <v>0</v>
      </c>
      <c r="I48" s="1243">
        <f>SUM(I49,I54,I57)</f>
        <v>0</v>
      </c>
      <c r="J48" s="1232"/>
      <c r="K48" s="1243">
        <f>SUM(L48:O48)</f>
        <v>0</v>
      </c>
      <c r="L48" s="1243">
        <f>SUM(L49,L54,L57)</f>
        <v>0</v>
      </c>
      <c r="M48" s="1243">
        <f>SUM(M49,M54,M57)</f>
        <v>0</v>
      </c>
      <c r="N48" s="1243">
        <f>SUM(N49,N54,N57)</f>
        <v>0</v>
      </c>
      <c r="O48" s="2446"/>
      <c r="P48" s="1241"/>
      <c r="AB48" s="1162">
        <v>23</v>
      </c>
    </row>
    <row customHeight="1" ht="11.549999999999999">
      <c r="F49" s="1237" t="s">
        <v>737</v>
      </c>
      <c r="G49" s="1244" t="s">
        <v>1113</v>
      </c>
      <c r="H49" s="1243">
        <f>SUM(I49:J49)</f>
        <v>0</v>
      </c>
      <c r="I49" s="1243">
        <f>SUM(I50:I53)</f>
        <v>0</v>
      </c>
      <c r="J49" s="1232"/>
      <c r="K49" s="1243">
        <f>SUM(L49:O49)</f>
        <v>0</v>
      </c>
      <c r="L49" s="1243">
        <f>SUM(L50:L53)</f>
        <v>0</v>
      </c>
      <c r="M49" s="1243">
        <f>SUM(M50:M53)</f>
        <v>0</v>
      </c>
      <c r="N49" s="1243">
        <f>SUM(N50:N53)</f>
        <v>0</v>
      </c>
      <c r="O49" s="2446"/>
      <c r="P49" s="1241"/>
      <c r="AB49" s="1162">
        <v>11</v>
      </c>
    </row>
    <row customHeight="1" ht="24">
      <c r="F50" s="1237" t="s">
        <v>740</v>
      </c>
      <c r="G50" s="1245" t="s">
        <v>1151</v>
      </c>
      <c r="H50" s="1243">
        <f>SUM(I50:J50)</f>
        <v>0</v>
      </c>
      <c r="I50" s="1242"/>
      <c r="J50" s="1232"/>
      <c r="K50" s="1243">
        <f>SUM(L50:O50)</f>
        <v>0</v>
      </c>
      <c r="L50" s="1242"/>
      <c r="M50" s="1242"/>
      <c r="N50" s="1242"/>
      <c r="O50" s="2446"/>
      <c r="P50" s="1241"/>
      <c r="AB50" s="1162">
        <v>23</v>
      </c>
    </row>
    <row customHeight="1" ht="11.549999999999999">
      <c r="F51" s="1237" t="s">
        <v>743</v>
      </c>
      <c r="G51" s="1245" t="s">
        <v>1153</v>
      </c>
      <c r="H51" s="1243">
        <f>SUM(I51:J51)</f>
        <v>0</v>
      </c>
      <c r="I51" s="1242"/>
      <c r="J51" s="1232"/>
      <c r="K51" s="1243">
        <f>SUM(L51:O51)</f>
        <v>0</v>
      </c>
      <c r="L51" s="1242"/>
      <c r="M51" s="1242"/>
      <c r="N51" s="1242"/>
      <c r="O51" s="2446"/>
      <c r="P51" s="1241"/>
      <c r="AB51" s="1162">
        <v>11</v>
      </c>
    </row>
    <row customHeight="1" ht="11.549999999999999">
      <c r="F52" s="1237" t="s">
        <v>1162</v>
      </c>
      <c r="G52" s="1245" t="s">
        <v>1155</v>
      </c>
      <c r="H52" s="1243">
        <f>SUM(I52:J52)</f>
        <v>0</v>
      </c>
      <c r="I52" s="1242"/>
      <c r="J52" s="1232"/>
      <c r="K52" s="1243">
        <f>SUM(L52:O52)</f>
        <v>0</v>
      </c>
      <c r="L52" s="1242"/>
      <c r="M52" s="1242"/>
      <c r="N52" s="1242"/>
      <c r="O52" s="2446"/>
      <c r="P52" s="1241"/>
      <c r="AB52" s="1162">
        <v>11</v>
      </c>
    </row>
    <row customHeight="1" ht="35.699999999999996">
      <c r="F53" s="1237" t="s">
        <v>1163</v>
      </c>
      <c r="G53" s="1245" t="s">
        <v>1157</v>
      </c>
      <c r="H53" s="1243">
        <f>SUM(I53:J53)</f>
        <v>0</v>
      </c>
      <c r="I53" s="1242"/>
      <c r="J53" s="1232"/>
      <c r="K53" s="1243">
        <f>SUM(L53:O53)</f>
        <v>0</v>
      </c>
      <c r="L53" s="1242"/>
      <c r="M53" s="1242"/>
      <c r="N53" s="1242"/>
      <c r="O53" s="2446"/>
      <c r="P53" s="1241"/>
      <c r="AB53" s="1162">
        <v>34</v>
      </c>
    </row>
    <row customHeight="1" ht="11.549999999999999">
      <c r="F54" s="1237" t="s">
        <v>306</v>
      </c>
      <c r="G54" s="1244" t="s">
        <v>1142</v>
      </c>
      <c r="H54" s="1243">
        <f>SUM(I54:J54)</f>
        <v>0</v>
      </c>
      <c r="I54" s="1243">
        <f>SUM(I55:I56)</f>
        <v>0</v>
      </c>
      <c r="J54" s="1232"/>
      <c r="K54" s="1243">
        <f>SUM(L54:O54)</f>
        <v>0</v>
      </c>
      <c r="L54" s="1243">
        <f>SUM(L55:L56)</f>
        <v>0</v>
      </c>
      <c r="M54" s="1243">
        <f>SUM(M55:M56)</f>
        <v>0</v>
      </c>
      <c r="N54" s="1243">
        <f>SUM(N55:N56)</f>
        <v>0</v>
      </c>
      <c r="O54" s="2446"/>
      <c r="P54" s="1241"/>
      <c r="AB54" s="1162">
        <v>11</v>
      </c>
    </row>
    <row customHeight="1" ht="48.29999999999999">
      <c r="F55" s="1237" t="s">
        <v>747</v>
      </c>
      <c r="G55" s="1245" t="s">
        <v>1143</v>
      </c>
      <c r="H55" s="1243">
        <f>SUM(I55:J55)</f>
        <v>0</v>
      </c>
      <c r="I55" s="1242"/>
      <c r="J55" s="1232"/>
      <c r="K55" s="1243">
        <f>SUM(L55:O55)</f>
        <v>0</v>
      </c>
      <c r="L55" s="1242"/>
      <c r="M55" s="1242"/>
      <c r="N55" s="1242"/>
      <c r="O55" s="2446"/>
      <c r="P55" s="1241"/>
      <c r="AB55" s="1162">
        <v>46</v>
      </c>
    </row>
    <row customHeight="1" ht="11.549999999999999">
      <c r="F56" s="1237" t="s">
        <v>749</v>
      </c>
      <c r="G56" s="1245" t="s">
        <v>1144</v>
      </c>
      <c r="H56" s="1243">
        <f>SUM(I56:J56)</f>
        <v>0</v>
      </c>
      <c r="I56" s="1242"/>
      <c r="J56" s="1232"/>
      <c r="K56" s="1243">
        <f>SUM(L56:O56)</f>
        <v>0</v>
      </c>
      <c r="L56" s="1242"/>
      <c r="M56" s="1242"/>
      <c r="N56" s="1242"/>
      <c r="O56" s="2446"/>
      <c r="P56" s="1241"/>
      <c r="AB56" s="1162">
        <v>11</v>
      </c>
    </row>
    <row customHeight="1" ht="11.549999999999999">
      <c r="F57" s="1237" t="s">
        <v>309</v>
      </c>
      <c r="G57" s="1244" t="s">
        <v>1160</v>
      </c>
      <c r="H57" s="1243">
        <f>SUM(I57:J57)</f>
        <v>0</v>
      </c>
      <c r="I57" s="1242"/>
      <c r="J57" s="1232"/>
      <c r="K57" s="1243">
        <f>SUM(L57:O57)</f>
        <v>0</v>
      </c>
      <c r="L57" s="1242"/>
      <c r="M57" s="1242"/>
      <c r="N57" s="1242"/>
      <c r="O57" s="2446"/>
      <c r="P57" s="1241"/>
      <c r="AB57" s="1162">
        <v>11</v>
      </c>
    </row>
    <row customHeight="1" ht="11.549999999999999">
      <c r="F58" s="1237"/>
      <c r="G58" s="1246" t="s">
        <v>1146</v>
      </c>
      <c r="H58" s="1243">
        <f>SUM(I58:J58)</f>
        <v>0</v>
      </c>
      <c r="I58" s="1243">
        <f>SUM(I38,I48)</f>
        <v>0</v>
      </c>
      <c r="J58" s="1232"/>
      <c r="K58" s="1243">
        <f>SUM(L58:O58)</f>
        <v>0</v>
      </c>
      <c r="L58" s="1243">
        <f>SUM(L38,L48)</f>
        <v>0</v>
      </c>
      <c r="M58" s="1243">
        <f>SUM(M38,M48)</f>
        <v>0</v>
      </c>
      <c r="N58" s="1243">
        <f>SUM(N38,N48)</f>
        <v>0</v>
      </c>
      <c r="O58" s="2446"/>
      <c r="P58" s="1241"/>
      <c r="AB58" s="1162">
        <v>11</v>
      </c>
    </row>
    <row customHeight="1" ht="10.5" hidden="1">
      <c r="A59" s="1173" t="s">
        <v>81</v>
      </c>
      <c r="B59" s="1173">
        <v>0</v>
      </c>
      <c r="C59" s="1173">
        <v>0</v>
      </c>
      <c r="D59" s="1167">
        <v>0</v>
      </c>
      <c r="E59" s="516">
        <v>3</v>
      </c>
      <c r="F59" s="1162">
        <v>6</v>
      </c>
      <c r="G59" s="1162">
        <v>60</v>
      </c>
      <c r="H59" s="1162">
        <v>0</v>
      </c>
      <c r="I59" s="1162">
        <v>0</v>
      </c>
      <c r="J59" s="1162">
        <v>0</v>
      </c>
      <c r="K59" s="1642">
        <v>0</v>
      </c>
      <c r="L59" s="1642">
        <v>0</v>
      </c>
      <c r="M59" s="1642">
        <v>0</v>
      </c>
      <c r="N59" s="1642">
        <v>0</v>
      </c>
      <c r="O59" s="1642">
        <v>0</v>
      </c>
      <c r="P59" s="1162">
        <v>1</v>
      </c>
      <c r="Q59" s="1162">
        <v>8</v>
      </c>
      <c r="R59" s="1162">
        <v>8</v>
      </c>
      <c r="S59" s="1162">
        <v>8</v>
      </c>
      <c r="T59" s="1162">
        <v>8</v>
      </c>
      <c r="U59" s="1162">
        <v>8</v>
      </c>
      <c r="V59" s="1162">
        <v>8</v>
      </c>
      <c r="W59" s="1162">
        <v>8</v>
      </c>
      <c r="X59" s="1162">
        <v>8</v>
      </c>
      <c r="Y59" s="1162">
        <v>8</v>
      </c>
      <c r="Z59" s="1162">
        <v>8</v>
      </c>
      <c r="AA59" s="1162">
        <v>8</v>
      </c>
      <c r="AB59" s="1162">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O10"/>
    <mergeCell ref="K11:O11"/>
  </mergeCells>
  <dataValidations count="1">
    <dataValidation type="decimal" allowBlank="1" showErrorMessage="1" errorTitle="Ошибка" error="Допускается ввод только неотрицательных чисел!" sqref="I29:I31 I33:I35 I40:I43 I45:I47 I50:I53 I55:I57 I16:I27 L16:N16 L17:N17 L18:N18 L19:N19 L20:N20 L21:N21 L22:N22 L23:N23 L24:N24 L25:N25 L26:N26 L27:N27 L29:N29 L30:N30 L31:N31 L33:N33 L34:N34 L35:N35 L40:N40 L41:N41 L42:N42 L43:N43 L45:N45 L46:N46 L47:N47 L50:N50 L51:N51 L52:N52 L53:N53 L55:N55 L56:N56 L57:N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C89FA-FC3D-8B95-0734-0.8CB05B08}" mc:Ignorable="x14ac xr xr2 xr3">
  <sheetPr>
    <tabColor theme="9" tint="-0.25"/>
  </sheetPr>
  <dimension ref="A1:GC28"/>
  <sheetViews>
    <sheetView topLeftCell="E4" showGridLines="0" zoomScale="90" workbookViewId="0" tabSelected="1">
      <selection activeCell="I22" sqref="I22"/>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hidden="1" customWidth="1"/>
    <col min="29" max="71" style="1070" width="0.8515625" hidden="1" customWidth="1"/>
    <col min="72" max="79" style="1070" width="21.7109375" customWidth="1"/>
    <col min="80" max="81" style="1070" width="29.140625" customWidth="1"/>
    <col min="82" max="89" style="1070" width="21.7109375" customWidth="1"/>
    <col min="90" max="102" style="1070" width="0.7109375"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77" customFormat="1" customHeight="1" ht="27.299999999999997">
      <c r="B5" s="1876"/>
      <c r="E5" s="1878"/>
      <c r="F5" s="245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89"/>
      <c r="H5" s="2189"/>
      <c r="I5" s="2189"/>
      <c r="J5" s="2189"/>
      <c r="K5" s="2189"/>
      <c r="L5" s="2189"/>
      <c r="M5" s="2189"/>
      <c r="N5" s="2189"/>
      <c r="O5" s="2189"/>
      <c r="P5" s="2189"/>
      <c r="Q5" s="2189"/>
      <c r="R5" s="2189"/>
      <c r="S5" s="2189"/>
      <c r="T5" s="2189"/>
      <c r="U5" s="2189"/>
      <c r="V5" s="2189"/>
      <c r="W5" s="2189"/>
      <c r="X5" s="2189"/>
      <c r="Y5" s="2189"/>
      <c r="Z5" s="2189"/>
      <c r="AA5" s="2189"/>
      <c r="AB5" s="2189"/>
      <c r="AC5" s="2189"/>
      <c r="AD5" s="2189"/>
      <c r="AE5" s="2189"/>
      <c r="AF5" s="2189"/>
      <c r="AG5" s="2189"/>
      <c r="AH5" s="2189"/>
      <c r="AI5" s="2189"/>
      <c r="AJ5" s="2189"/>
      <c r="AK5" s="2189"/>
      <c r="AL5" s="2189"/>
      <c r="AM5" s="2189"/>
      <c r="AN5" s="2189"/>
      <c r="AO5" s="2189"/>
      <c r="AP5" s="2189"/>
      <c r="AQ5" s="2189"/>
      <c r="AR5" s="2189"/>
      <c r="AS5" s="2189"/>
      <c r="AT5" s="2189"/>
      <c r="AU5" s="2189"/>
      <c r="AV5" s="2189"/>
      <c r="AW5" s="2189"/>
      <c r="AX5" s="2189"/>
      <c r="AY5" s="2189"/>
      <c r="AZ5" s="2189"/>
      <c r="BA5" s="2189"/>
      <c r="BB5" s="2189"/>
      <c r="BC5" s="2189"/>
      <c r="BD5" s="2189"/>
      <c r="BE5" s="2189"/>
      <c r="BF5" s="2189"/>
      <c r="BG5" s="2189"/>
      <c r="BH5" s="2189"/>
      <c r="BI5" s="2189"/>
      <c r="BJ5" s="2189"/>
      <c r="BK5" s="2189"/>
      <c r="BL5" s="2189"/>
      <c r="BM5" s="2189"/>
      <c r="BN5" s="2189"/>
      <c r="BO5" s="2189"/>
      <c r="BP5" s="2189"/>
      <c r="BQ5" s="2189"/>
      <c r="BR5" s="2189"/>
      <c r="BS5" s="2189"/>
      <c r="GC5" s="1877">
        <v>26</v>
      </c>
    </row>
    <row s="2158" customFormat="1" customHeight="1" ht="18.75">
      <c r="B6" s="950"/>
      <c r="E6" s="952"/>
      <c r="F6" s="2234" t="str">
        <f>IF(org=0,"Не определено",org)</f>
        <v>ИМУП «ПОСЖИЛКОМСЕРВИС»</v>
      </c>
      <c r="G6" s="2235"/>
      <c r="H6" s="2235"/>
      <c r="I6" s="2235"/>
      <c r="J6" s="2235"/>
      <c r="K6" s="2235"/>
      <c r="L6" s="2235"/>
      <c r="M6" s="2235"/>
      <c r="N6" s="2235"/>
      <c r="O6" s="2235"/>
      <c r="P6" s="2235"/>
      <c r="Q6" s="2235"/>
      <c r="R6" s="2235"/>
      <c r="S6" s="2235"/>
      <c r="T6" s="2235"/>
      <c r="U6" s="2235"/>
      <c r="V6" s="2235"/>
      <c r="W6" s="2235"/>
      <c r="X6" s="2235"/>
      <c r="Y6" s="2235"/>
      <c r="Z6" s="2235"/>
      <c r="AA6" s="2235"/>
      <c r="AB6" s="2235"/>
      <c r="AC6" s="2235"/>
      <c r="AD6" s="2235"/>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5"/>
      <c r="BC6" s="2235"/>
      <c r="BD6" s="2235"/>
      <c r="BE6" s="2235"/>
      <c r="BF6" s="2235"/>
      <c r="BG6" s="2235"/>
      <c r="BH6" s="2235"/>
      <c r="BI6" s="2235"/>
      <c r="BJ6" s="2235"/>
      <c r="BK6" s="2235"/>
      <c r="BL6" s="2235"/>
      <c r="BM6" s="2235"/>
      <c r="BN6" s="2235"/>
      <c r="BO6" s="2235"/>
      <c r="BP6" s="2235"/>
      <c r="BQ6" s="2235"/>
      <c r="BR6" s="2235"/>
      <c r="BS6" s="2235"/>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70" t="s">
        <v>1164</v>
      </c>
      <c r="P8" s="2471"/>
      <c r="Q8" s="2471"/>
      <c r="R8" s="2471"/>
      <c r="S8" s="2471"/>
      <c r="T8" s="2471"/>
      <c r="U8" s="2471"/>
      <c r="V8" s="2471"/>
      <c r="W8" s="2471"/>
      <c r="X8" s="2471"/>
      <c r="Y8" s="2471"/>
      <c r="Z8" s="2471"/>
      <c r="AA8" s="2471"/>
      <c r="AB8" s="2471"/>
      <c r="AC8" s="2471"/>
      <c r="AD8" s="2471"/>
      <c r="AE8" s="2471"/>
      <c r="AF8" s="2471"/>
      <c r="AG8" s="2471"/>
      <c r="AH8" s="2471"/>
      <c r="AI8" s="2471"/>
      <c r="AJ8" s="2471"/>
      <c r="AK8" s="2471"/>
      <c r="AL8" s="2471"/>
      <c r="AM8" s="2471"/>
      <c r="AN8" s="2471"/>
      <c r="AO8" s="2471"/>
      <c r="AP8" s="2471"/>
      <c r="AQ8" s="2471"/>
      <c r="AR8" s="2471"/>
      <c r="AS8" s="2471"/>
      <c r="AT8" s="2471"/>
      <c r="AU8" s="2471"/>
      <c r="AV8" s="2471"/>
      <c r="AW8" s="2471"/>
      <c r="AX8" s="2471"/>
      <c r="AY8" s="2471"/>
      <c r="AZ8" s="2471"/>
      <c r="BA8" s="2471"/>
      <c r="BB8" s="2471"/>
      <c r="BC8" s="2471"/>
      <c r="BD8" s="2471"/>
      <c r="BE8" s="2471"/>
      <c r="BF8" s="2471"/>
      <c r="BG8" s="2471"/>
      <c r="BH8" s="2471"/>
      <c r="BI8" s="2471"/>
      <c r="BJ8" s="2471"/>
      <c r="BK8" s="2471"/>
      <c r="BL8" s="2471"/>
      <c r="BM8" s="2471"/>
      <c r="BN8" s="2471"/>
      <c r="BO8" s="2471"/>
      <c r="BP8" s="2471"/>
      <c r="BQ8" s="2471"/>
      <c r="BR8" s="2471"/>
      <c r="BS8" s="2472"/>
      <c r="BT8" s="2459"/>
      <c r="BU8" s="2460"/>
      <c r="BV8" s="2460"/>
      <c r="BW8" s="2460"/>
      <c r="BX8" s="2460"/>
      <c r="BY8" s="2460"/>
      <c r="BZ8" s="2460"/>
      <c r="CA8" s="2460"/>
      <c r="CB8" s="2460"/>
      <c r="CC8" s="2460"/>
      <c r="CD8" s="2460"/>
      <c r="CE8" s="2460"/>
      <c r="CF8" s="2460"/>
      <c r="CG8" s="2460"/>
      <c r="CH8" s="2460"/>
      <c r="CI8" s="2460"/>
      <c r="CJ8" s="2460"/>
      <c r="CK8" s="2460"/>
      <c r="CL8" s="2460"/>
      <c r="CM8" s="2460"/>
      <c r="CN8" s="2460"/>
      <c r="CO8" s="2460"/>
      <c r="CP8" s="2460"/>
      <c r="CQ8" s="2460"/>
      <c r="CR8" s="2460"/>
      <c r="CS8" s="2460"/>
      <c r="CT8" s="2460"/>
      <c r="CU8" s="2460"/>
      <c r="CV8" s="2460"/>
      <c r="CW8" s="2460"/>
      <c r="CX8" s="2461"/>
      <c r="CY8" s="2462"/>
      <c r="CZ8" s="2463"/>
      <c r="DA8" s="2463"/>
      <c r="DB8" s="2463"/>
      <c r="DC8" s="2463"/>
      <c r="DD8" s="2463"/>
      <c r="DE8" s="2463"/>
      <c r="DF8" s="2463"/>
      <c r="DG8" s="2463"/>
      <c r="DH8" s="2463"/>
      <c r="DI8" s="2463"/>
      <c r="DJ8" s="2463"/>
      <c r="DK8" s="2463"/>
      <c r="DL8" s="2463"/>
      <c r="DM8" s="2463"/>
      <c r="DN8" s="2463"/>
      <c r="DO8" s="2463"/>
      <c r="DP8" s="2463"/>
      <c r="DQ8" s="2463"/>
      <c r="DR8" s="2463"/>
      <c r="DS8" s="2463"/>
      <c r="DT8" s="2463"/>
      <c r="DU8" s="2463"/>
      <c r="DV8" s="2463"/>
      <c r="DW8" s="2463"/>
      <c r="DX8" s="2464"/>
      <c r="DY8" s="2465" t="s">
        <v>1165</v>
      </c>
      <c r="DZ8" s="2466"/>
      <c r="EA8" s="2466"/>
      <c r="EB8" s="2466"/>
      <c r="EC8" s="2466"/>
      <c r="ED8" s="2466"/>
      <c r="EE8" s="2466"/>
      <c r="EF8" s="2466"/>
      <c r="EG8" s="2466"/>
      <c r="EH8" s="2466"/>
      <c r="EI8" s="2466"/>
      <c r="EJ8" s="2466"/>
      <c r="EK8" s="2466"/>
      <c r="EL8" s="2466"/>
      <c r="EM8" s="2466"/>
      <c r="EN8" s="2466"/>
      <c r="EO8" s="2466"/>
      <c r="EP8" s="2466"/>
      <c r="EQ8" s="2466"/>
      <c r="ER8" s="2466"/>
      <c r="ES8" s="2466"/>
      <c r="ET8" s="2466"/>
      <c r="EU8" s="2466"/>
      <c r="EV8" s="2466"/>
      <c r="EW8" s="2466"/>
      <c r="EX8" s="2466"/>
      <c r="EY8" s="2466"/>
      <c r="EZ8" s="2466"/>
      <c r="FA8" s="2466"/>
      <c r="FB8" s="2466"/>
      <c r="FC8" s="2466"/>
      <c r="FD8" s="2466"/>
      <c r="FE8" s="2466"/>
      <c r="FF8" s="2466"/>
      <c r="FG8" s="2466"/>
      <c r="FH8" s="2466"/>
      <c r="FI8" s="2466"/>
      <c r="FJ8" s="2466"/>
      <c r="FK8" s="2466"/>
      <c r="FL8" s="2466"/>
      <c r="FM8" s="2466"/>
      <c r="FN8" s="2466"/>
      <c r="FO8" s="2466"/>
      <c r="FP8" s="2466"/>
      <c r="FQ8" s="2466"/>
      <c r="FR8" s="2466"/>
      <c r="FS8" s="2466"/>
      <c r="FT8" s="2466"/>
      <c r="FU8" s="2466"/>
      <c r="FV8" s="2466"/>
      <c r="FW8" s="2467"/>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68"/>
      <c r="FX9" s="1063"/>
      <c r="GC9" s="940">
        <v>0</v>
      </c>
    </row>
    <row s="940" customFormat="1" customHeight="1" ht="11.549999999999999">
      <c r="B10" s="941"/>
      <c r="F10" s="2449" t="s">
        <v>299</v>
      </c>
      <c r="G10" s="2450"/>
      <c r="H10" s="2450"/>
      <c r="I10" s="2450"/>
      <c r="J10" s="2450"/>
      <c r="K10" s="2450"/>
      <c r="L10" s="2450"/>
      <c r="M10" s="2450"/>
      <c r="N10" s="2450"/>
      <c r="O10" s="2450"/>
      <c r="P10" s="2450"/>
      <c r="Q10" s="2450"/>
      <c r="R10" s="2450"/>
      <c r="S10" s="2450"/>
      <c r="T10" s="2450"/>
      <c r="U10" s="2450"/>
      <c r="V10" s="2450"/>
      <c r="W10" s="2450"/>
      <c r="X10" s="2450"/>
      <c r="Y10" s="2450"/>
      <c r="Z10" s="2450"/>
      <c r="AA10" s="2450"/>
      <c r="AB10" s="2450"/>
      <c r="AC10" s="2450"/>
      <c r="AD10" s="2450"/>
      <c r="AE10" s="2450"/>
      <c r="AF10" s="2450"/>
      <c r="AG10" s="2450"/>
      <c r="AH10" s="2450"/>
      <c r="AI10" s="2450"/>
      <c r="AJ10" s="2450"/>
      <c r="AK10" s="2450"/>
      <c r="AL10" s="2450"/>
      <c r="AM10" s="2450"/>
      <c r="AN10" s="2450"/>
      <c r="AO10" s="2450"/>
      <c r="AP10" s="2450"/>
      <c r="AQ10" s="2450"/>
      <c r="AR10" s="2450"/>
      <c r="AS10" s="2450"/>
      <c r="AT10" s="2450"/>
      <c r="AU10" s="2450"/>
      <c r="AV10" s="2450"/>
      <c r="AW10" s="2450"/>
      <c r="AX10" s="2450"/>
      <c r="AY10" s="2450"/>
      <c r="AZ10" s="2450"/>
      <c r="BA10" s="2450"/>
      <c r="BB10" s="2450"/>
      <c r="BC10" s="2450"/>
      <c r="BD10" s="2450"/>
      <c r="BE10" s="2450"/>
      <c r="BF10" s="2450"/>
      <c r="BG10" s="2450"/>
      <c r="BH10" s="2450"/>
      <c r="BI10" s="2450"/>
      <c r="BJ10" s="2450"/>
      <c r="BK10" s="2450"/>
      <c r="BL10" s="2450"/>
      <c r="BM10" s="2450"/>
      <c r="BN10" s="2450"/>
      <c r="BO10" s="2450"/>
      <c r="BP10" s="2450"/>
      <c r="BQ10" s="2450"/>
      <c r="BR10" s="2450"/>
      <c r="BS10" s="2450"/>
      <c r="BT10" s="2450"/>
      <c r="BU10" s="2450"/>
      <c r="BV10" s="2450"/>
      <c r="BW10" s="2450"/>
      <c r="BX10" s="2450"/>
      <c r="BY10" s="2450"/>
      <c r="BZ10" s="2450"/>
      <c r="CA10" s="2450"/>
      <c r="CB10" s="2450"/>
      <c r="CC10" s="2450"/>
      <c r="CD10" s="2450"/>
      <c r="CE10" s="2450"/>
      <c r="CF10" s="2450"/>
      <c r="CG10" s="2450"/>
      <c r="CH10" s="2450"/>
      <c r="CI10" s="2450"/>
      <c r="CJ10" s="2450"/>
      <c r="CK10" s="2450"/>
      <c r="CL10" s="2450"/>
      <c r="CM10" s="2450"/>
      <c r="CN10" s="2450"/>
      <c r="CO10" s="2450"/>
      <c r="CP10" s="2450"/>
      <c r="CQ10" s="2450"/>
      <c r="CR10" s="2450"/>
      <c r="CS10" s="2450"/>
      <c r="CT10" s="2450"/>
      <c r="CU10" s="2450"/>
      <c r="CV10" s="2450"/>
      <c r="CW10" s="2450"/>
      <c r="CX10" s="2450"/>
      <c r="CY10" s="2450"/>
      <c r="CZ10" s="2450"/>
      <c r="DA10" s="2450"/>
      <c r="DB10" s="2450"/>
      <c r="DC10" s="2450"/>
      <c r="DD10" s="2450"/>
      <c r="DE10" s="2450"/>
      <c r="DF10" s="2450"/>
      <c r="DG10" s="2450"/>
      <c r="DH10" s="2450"/>
      <c r="DI10" s="2450"/>
      <c r="DJ10" s="2450"/>
      <c r="DK10" s="2450"/>
      <c r="DL10" s="2450"/>
      <c r="DM10" s="2450"/>
      <c r="DN10" s="2450"/>
      <c r="DO10" s="2450"/>
      <c r="DP10" s="2450"/>
      <c r="DQ10" s="2450"/>
      <c r="DR10" s="2450"/>
      <c r="DS10" s="2450"/>
      <c r="DT10" s="2450"/>
      <c r="DU10" s="2450"/>
      <c r="DV10" s="2450"/>
      <c r="DW10" s="2450"/>
      <c r="DX10" s="2450"/>
      <c r="DY10" s="2450"/>
      <c r="DZ10" s="2450"/>
      <c r="EA10" s="2450"/>
      <c r="EB10" s="2450"/>
      <c r="EC10" s="2450"/>
      <c r="ED10" s="2450"/>
      <c r="EE10" s="2450"/>
      <c r="EF10" s="2450"/>
      <c r="EG10" s="2450"/>
      <c r="EH10" s="2450"/>
      <c r="EI10" s="2450"/>
      <c r="EJ10" s="2450"/>
      <c r="EK10" s="2450"/>
      <c r="EL10" s="2450"/>
      <c r="EM10" s="2450"/>
      <c r="EN10" s="2450"/>
      <c r="EO10" s="2450"/>
      <c r="EP10" s="2450"/>
      <c r="EQ10" s="2450"/>
      <c r="ER10" s="2450"/>
      <c r="ES10" s="2450"/>
      <c r="ET10" s="2450"/>
      <c r="EU10" s="2450"/>
      <c r="EV10" s="2450"/>
      <c r="EW10" s="2450"/>
      <c r="EX10" s="2450"/>
      <c r="EY10" s="2450"/>
      <c r="EZ10" s="2450"/>
      <c r="FA10" s="2450"/>
      <c r="FB10" s="2450"/>
      <c r="FC10" s="2450"/>
      <c r="FD10" s="2450"/>
      <c r="FE10" s="2450"/>
      <c r="FF10" s="2450"/>
      <c r="FG10" s="2450"/>
      <c r="FH10" s="2450"/>
      <c r="FI10" s="2450"/>
      <c r="FJ10" s="2450"/>
      <c r="FK10" s="2450"/>
      <c r="FL10" s="2450"/>
      <c r="FM10" s="2450"/>
      <c r="FN10" s="2450"/>
      <c r="FO10" s="2450"/>
      <c r="FP10" s="2450"/>
      <c r="FQ10" s="2450"/>
      <c r="FR10" s="2450"/>
      <c r="FS10" s="2450"/>
      <c r="FT10" s="2450"/>
      <c r="FU10" s="2450"/>
      <c r="FV10" s="2451"/>
      <c r="FW10" s="2468"/>
      <c r="FX10" s="1063"/>
      <c r="GC10" s="940">
        <v>11</v>
      </c>
    </row>
    <row customHeight="1" ht="12.75">
      <c r="E11" s="944"/>
      <c r="F11" s="2225" t="s">
        <v>87</v>
      </c>
      <c r="G11" s="2225" t="s">
        <v>1166</v>
      </c>
      <c r="H11" s="2457" t="s">
        <v>1167</v>
      </c>
      <c r="I11" s="2457" t="s">
        <v>1168</v>
      </c>
      <c r="J11" s="2458"/>
      <c r="K11" s="2458"/>
      <c r="L11" s="2458"/>
      <c r="M11" s="2458"/>
      <c r="N11" s="2458"/>
      <c r="O11" s="2229" t="s">
        <v>1169</v>
      </c>
      <c r="P11" s="2229"/>
      <c r="Q11" s="2229"/>
      <c r="R11" s="2229"/>
      <c r="S11" s="2229"/>
      <c r="T11" s="2229"/>
      <c r="U11" s="2229"/>
      <c r="V11" s="2229"/>
      <c r="W11" s="2229"/>
      <c r="X11" s="2229"/>
      <c r="Y11" s="2229"/>
      <c r="Z11" s="2229"/>
      <c r="AA11" s="2229"/>
      <c r="AB11" s="2229"/>
      <c r="AC11" s="2454"/>
      <c r="AD11" s="2454"/>
      <c r="AE11" s="2454"/>
      <c r="AF11" s="2454"/>
      <c r="AG11" s="2454"/>
      <c r="AH11" s="2454"/>
      <c r="AI11" s="2454"/>
      <c r="AJ11" s="2454"/>
      <c r="AK11" s="2454"/>
      <c r="AL11" s="2454"/>
      <c r="AM11" s="2454"/>
      <c r="AN11" s="2454"/>
      <c r="AO11" s="2454"/>
      <c r="AP11" s="2454"/>
      <c r="AQ11" s="2454"/>
      <c r="AR11" s="2454"/>
      <c r="AS11" s="2454"/>
      <c r="AT11" s="2454"/>
      <c r="AU11" s="2454"/>
      <c r="AV11" s="2454"/>
      <c r="AW11" s="2454"/>
      <c r="AX11" s="2454"/>
      <c r="AY11" s="2454"/>
      <c r="AZ11" s="2454"/>
      <c r="BA11" s="2454"/>
      <c r="BB11" s="2454"/>
      <c r="BC11" s="2454"/>
      <c r="BD11" s="2454"/>
      <c r="BE11" s="2454"/>
      <c r="BF11" s="2454"/>
      <c r="BG11" s="2454"/>
      <c r="BH11" s="2454"/>
      <c r="BI11" s="2454"/>
      <c r="BJ11" s="2454"/>
      <c r="BK11" s="2454"/>
      <c r="BL11" s="2454"/>
      <c r="BM11" s="2454"/>
      <c r="BN11" s="2454"/>
      <c r="BO11" s="2454"/>
      <c r="BP11" s="2454"/>
      <c r="BQ11" s="2454"/>
      <c r="BR11" s="2454"/>
      <c r="BS11" s="2473"/>
      <c r="BT11" s="2406" t="s">
        <v>1169</v>
      </c>
      <c r="BU11" s="2407"/>
      <c r="BV11" s="2407"/>
      <c r="BW11" s="2407"/>
      <c r="BX11" s="2407"/>
      <c r="BY11" s="2407"/>
      <c r="BZ11" s="2407"/>
      <c r="CA11" s="2407"/>
      <c r="CB11" s="2407"/>
      <c r="CC11" s="2407"/>
      <c r="CD11" s="2407"/>
      <c r="CE11" s="2407"/>
      <c r="CF11" s="2407"/>
      <c r="CG11" s="2407"/>
      <c r="CH11" s="2407"/>
      <c r="CI11" s="2407"/>
      <c r="CJ11" s="2407"/>
      <c r="CK11" s="2453"/>
      <c r="CL11" s="2456"/>
      <c r="CM11" s="2454"/>
      <c r="CN11" s="2454"/>
      <c r="CO11" s="2454"/>
      <c r="CP11" s="2454"/>
      <c r="CQ11" s="2454"/>
      <c r="CR11" s="2454"/>
      <c r="CS11" s="2454"/>
      <c r="CT11" s="2454"/>
      <c r="CU11" s="2454"/>
      <c r="CV11" s="2454"/>
      <c r="CW11" s="2454"/>
      <c r="CX11" s="2473"/>
      <c r="CY11" s="2406" t="s">
        <v>1169</v>
      </c>
      <c r="CZ11" s="2407"/>
      <c r="DA11" s="2407"/>
      <c r="DB11" s="2407"/>
      <c r="DC11" s="2407"/>
      <c r="DD11" s="2407"/>
      <c r="DE11" s="2407"/>
      <c r="DF11" s="2407"/>
      <c r="DG11" s="2407"/>
      <c r="DH11" s="2407"/>
      <c r="DI11" s="2407"/>
      <c r="DJ11" s="2453"/>
      <c r="DK11" s="2456"/>
      <c r="DL11" s="2454"/>
      <c r="DM11" s="2454"/>
      <c r="DN11" s="2454"/>
      <c r="DO11" s="2454"/>
      <c r="DP11" s="2454"/>
      <c r="DQ11" s="2454"/>
      <c r="DR11" s="2454"/>
      <c r="DS11" s="2454"/>
      <c r="DT11" s="2454"/>
      <c r="DU11" s="2454"/>
      <c r="DV11" s="2454"/>
      <c r="DW11" s="2454"/>
      <c r="DX11" s="2454"/>
      <c r="DY11" s="2454"/>
      <c r="DZ11" s="2454"/>
      <c r="EA11" s="2454"/>
      <c r="EB11" s="2454"/>
      <c r="EC11" s="2454"/>
      <c r="ED11" s="2454"/>
      <c r="EE11" s="2454"/>
      <c r="EF11" s="2454"/>
      <c r="EG11" s="2454"/>
      <c r="EH11" s="2454"/>
      <c r="EI11" s="2454"/>
      <c r="EJ11" s="2454"/>
      <c r="EK11" s="2454"/>
      <c r="EL11" s="2454"/>
      <c r="EM11" s="2454"/>
      <c r="EN11" s="2454"/>
      <c r="EO11" s="2454"/>
      <c r="EP11" s="2454"/>
      <c r="EQ11" s="2454"/>
      <c r="ER11" s="2454"/>
      <c r="ES11" s="2454"/>
      <c r="ET11" s="2454"/>
      <c r="EU11" s="2454"/>
      <c r="EV11" s="2454"/>
      <c r="EW11" s="2454"/>
      <c r="EX11" s="2454"/>
      <c r="EY11" s="2454"/>
      <c r="EZ11" s="2454"/>
      <c r="FA11" s="2454"/>
      <c r="FB11" s="2454"/>
      <c r="FC11" s="2454"/>
      <c r="FD11" s="2454"/>
      <c r="FE11" s="2454"/>
      <c r="FF11" s="2454"/>
      <c r="FG11" s="2454"/>
      <c r="FH11" s="2454"/>
      <c r="FI11" s="2454"/>
      <c r="FJ11" s="2454"/>
      <c r="FK11" s="2454"/>
      <c r="FL11" s="2454"/>
      <c r="FM11" s="2454"/>
      <c r="FN11" s="2454"/>
      <c r="FO11" s="2454"/>
      <c r="FP11" s="2454"/>
      <c r="FQ11" s="2454"/>
      <c r="FR11" s="2454"/>
      <c r="FS11" s="2454"/>
      <c r="FT11" s="2454"/>
      <c r="FU11" s="2454"/>
      <c r="FV11" s="2454"/>
      <c r="FW11" s="2468"/>
      <c r="FX11" s="769"/>
      <c r="GC11" s="933">
        <v>12</v>
      </c>
    </row>
    <row customHeight="1" ht="12.75">
      <c r="D12" s="945"/>
      <c r="E12" s="944"/>
      <c r="F12" s="2225"/>
      <c r="G12" s="2225"/>
      <c r="H12" s="2457"/>
      <c r="I12" s="2457"/>
      <c r="J12" s="2458"/>
      <c r="K12" s="2458"/>
      <c r="L12" s="2458"/>
      <c r="M12" s="2458"/>
      <c r="N12" s="2458"/>
      <c r="O12" s="2229" t="s">
        <v>1170</v>
      </c>
      <c r="P12" s="2229"/>
      <c r="Q12" s="2229"/>
      <c r="R12" s="2229"/>
      <c r="S12" s="2229" t="s">
        <v>1171</v>
      </c>
      <c r="T12" s="2229"/>
      <c r="U12" s="2229"/>
      <c r="V12" s="2229"/>
      <c r="W12" s="2229"/>
      <c r="X12" s="2229"/>
      <c r="Y12" s="2229"/>
      <c r="Z12" s="2229"/>
      <c r="AA12" s="2229"/>
      <c r="AB12" s="2229"/>
      <c r="AC12" s="2454"/>
      <c r="AD12" s="2454"/>
      <c r="AE12" s="2454"/>
      <c r="AF12" s="2454"/>
      <c r="AG12" s="2454"/>
      <c r="AH12" s="2454"/>
      <c r="AI12" s="2454"/>
      <c r="AJ12" s="2454"/>
      <c r="AK12" s="2454"/>
      <c r="AL12" s="2454"/>
      <c r="AM12" s="2454"/>
      <c r="AN12" s="2454"/>
      <c r="AO12" s="2454"/>
      <c r="AP12" s="2454"/>
      <c r="AQ12" s="2454"/>
      <c r="AR12" s="2454"/>
      <c r="AS12" s="2454"/>
      <c r="AT12" s="2454"/>
      <c r="AU12" s="2454"/>
      <c r="AV12" s="2454"/>
      <c r="AW12" s="2454"/>
      <c r="AX12" s="2454"/>
      <c r="AY12" s="2454"/>
      <c r="AZ12" s="2454"/>
      <c r="BA12" s="2454"/>
      <c r="BB12" s="2454"/>
      <c r="BC12" s="2454"/>
      <c r="BD12" s="2454"/>
      <c r="BE12" s="2454"/>
      <c r="BF12" s="2454"/>
      <c r="BG12" s="2454"/>
      <c r="BH12" s="2454"/>
      <c r="BI12" s="2454"/>
      <c r="BJ12" s="2454"/>
      <c r="BK12" s="2454"/>
      <c r="BL12" s="2454"/>
      <c r="BM12" s="2454"/>
      <c r="BN12" s="2454"/>
      <c r="BO12" s="2454"/>
      <c r="BP12" s="2454"/>
      <c r="BQ12" s="2454"/>
      <c r="BR12" s="2454"/>
      <c r="BS12" s="2473"/>
      <c r="BT12" s="2406" t="s">
        <v>1172</v>
      </c>
      <c r="BU12" s="2407"/>
      <c r="BV12" s="2407"/>
      <c r="BW12" s="2453"/>
      <c r="BX12" s="2406" t="s">
        <v>1173</v>
      </c>
      <c r="BY12" s="2407"/>
      <c r="BZ12" s="2407"/>
      <c r="CA12" s="2453"/>
      <c r="CB12" s="2406" t="s">
        <v>1174</v>
      </c>
      <c r="CC12" s="2453"/>
      <c r="CD12" s="2406" t="s">
        <v>1175</v>
      </c>
      <c r="CE12" s="2407"/>
      <c r="CF12" s="2407"/>
      <c r="CG12" s="2407"/>
      <c r="CH12" s="2407"/>
      <c r="CI12" s="2407"/>
      <c r="CJ12" s="2407"/>
      <c r="CK12" s="2453"/>
      <c r="CL12" s="2456"/>
      <c r="CM12" s="2454"/>
      <c r="CN12" s="2454"/>
      <c r="CO12" s="2454"/>
      <c r="CP12" s="2454"/>
      <c r="CQ12" s="2454"/>
      <c r="CR12" s="2454"/>
      <c r="CS12" s="2454"/>
      <c r="CT12" s="2454"/>
      <c r="CU12" s="2454"/>
      <c r="CV12" s="2454"/>
      <c r="CW12" s="2454"/>
      <c r="CX12" s="2473"/>
      <c r="CY12" s="2406" t="s">
        <v>1176</v>
      </c>
      <c r="CZ12" s="2407"/>
      <c r="DA12" s="2407"/>
      <c r="DB12" s="2407"/>
      <c r="DC12" s="2407"/>
      <c r="DD12" s="2453"/>
      <c r="DE12" s="2406" t="s">
        <v>1177</v>
      </c>
      <c r="DF12" s="2453"/>
      <c r="DG12" s="2406" t="s">
        <v>1175</v>
      </c>
      <c r="DH12" s="2407"/>
      <c r="DI12" s="2407"/>
      <c r="DJ12" s="2453"/>
      <c r="DK12" s="2456"/>
      <c r="DL12" s="2454"/>
      <c r="DM12" s="2454"/>
      <c r="DN12" s="2454"/>
      <c r="DO12" s="2454"/>
      <c r="DP12" s="2454"/>
      <c r="DQ12" s="2454"/>
      <c r="DR12" s="2454"/>
      <c r="DS12" s="2454"/>
      <c r="DT12" s="2454"/>
      <c r="DU12" s="2454"/>
      <c r="DV12" s="2454"/>
      <c r="DW12" s="2454"/>
      <c r="DX12" s="2454"/>
      <c r="DY12" s="2454"/>
      <c r="DZ12" s="2454"/>
      <c r="EA12" s="2454"/>
      <c r="EB12" s="2454"/>
      <c r="EC12" s="2454"/>
      <c r="ED12" s="2454"/>
      <c r="EE12" s="2454"/>
      <c r="EF12" s="2454"/>
      <c r="EG12" s="2454"/>
      <c r="EH12" s="2454"/>
      <c r="EI12" s="2454"/>
      <c r="EJ12" s="2454"/>
      <c r="EK12" s="2454"/>
      <c r="EL12" s="2454"/>
      <c r="EM12" s="2454"/>
      <c r="EN12" s="2454"/>
      <c r="EO12" s="2454"/>
      <c r="EP12" s="2454"/>
      <c r="EQ12" s="2454"/>
      <c r="ER12" s="2454"/>
      <c r="ES12" s="2454"/>
      <c r="ET12" s="2454"/>
      <c r="EU12" s="2454"/>
      <c r="EV12" s="2454"/>
      <c r="EW12" s="2454"/>
      <c r="EX12" s="2454"/>
      <c r="EY12" s="2454"/>
      <c r="EZ12" s="2454"/>
      <c r="FA12" s="2454"/>
      <c r="FB12" s="2454"/>
      <c r="FC12" s="2454"/>
      <c r="FD12" s="2454"/>
      <c r="FE12" s="2454"/>
      <c r="FF12" s="2454"/>
      <c r="FG12" s="2454"/>
      <c r="FH12" s="2454"/>
      <c r="FI12" s="2454"/>
      <c r="FJ12" s="2454"/>
      <c r="FK12" s="2454"/>
      <c r="FL12" s="2454"/>
      <c r="FM12" s="2454"/>
      <c r="FN12" s="2454"/>
      <c r="FO12" s="2454"/>
      <c r="FP12" s="2454"/>
      <c r="FQ12" s="2454"/>
      <c r="FR12" s="2454"/>
      <c r="FS12" s="2454"/>
      <c r="FT12" s="2454"/>
      <c r="FU12" s="2454"/>
      <c r="FV12" s="2454"/>
      <c r="FW12" s="2468"/>
      <c r="FX12" s="769"/>
      <c r="GC12" s="933">
        <v>12</v>
      </c>
    </row>
    <row customHeight="1" ht="37.8">
      <c r="D13" s="945"/>
      <c r="E13" s="944"/>
      <c r="F13" s="2225"/>
      <c r="G13" s="2225"/>
      <c r="H13" s="2457"/>
      <c r="I13" s="2457"/>
      <c r="J13" s="2458"/>
      <c r="K13" s="2458"/>
      <c r="L13" s="2458"/>
      <c r="M13" s="2458"/>
      <c r="N13" s="2458"/>
      <c r="O13" s="2229" t="s">
        <v>1178</v>
      </c>
      <c r="P13" s="2229"/>
      <c r="Q13" s="2229"/>
      <c r="R13" s="2229"/>
      <c r="S13" s="2356" t="s">
        <v>1179</v>
      </c>
      <c r="T13" s="2408"/>
      <c r="U13" s="2147" t="s">
        <v>1180</v>
      </c>
      <c r="V13" s="2147"/>
      <c r="W13" s="2147"/>
      <c r="X13" s="2147"/>
      <c r="Y13" s="2147" t="s">
        <v>1181</v>
      </c>
      <c r="Z13" s="2147"/>
      <c r="AA13" s="2147"/>
      <c r="AB13" s="2147"/>
      <c r="AC13" s="2454"/>
      <c r="AD13" s="2454"/>
      <c r="AE13" s="2454"/>
      <c r="AF13" s="2454"/>
      <c r="AG13" s="2454"/>
      <c r="AH13" s="2454"/>
      <c r="AI13" s="2454"/>
      <c r="AJ13" s="2454"/>
      <c r="AK13" s="2454"/>
      <c r="AL13" s="2454"/>
      <c r="AM13" s="2454"/>
      <c r="AN13" s="2454"/>
      <c r="AO13" s="2454"/>
      <c r="AP13" s="2454"/>
      <c r="AQ13" s="2454"/>
      <c r="AR13" s="2454"/>
      <c r="AS13" s="2454"/>
      <c r="AT13" s="2454"/>
      <c r="AU13" s="2454"/>
      <c r="AV13" s="2454"/>
      <c r="AW13" s="2454"/>
      <c r="AX13" s="2454"/>
      <c r="AY13" s="2454"/>
      <c r="AZ13" s="2454"/>
      <c r="BA13" s="2454"/>
      <c r="BB13" s="2454"/>
      <c r="BC13" s="2454"/>
      <c r="BD13" s="2454"/>
      <c r="BE13" s="2454"/>
      <c r="BF13" s="2454"/>
      <c r="BG13" s="2454"/>
      <c r="BH13" s="2454"/>
      <c r="BI13" s="2454"/>
      <c r="BJ13" s="2454"/>
      <c r="BK13" s="2454"/>
      <c r="BL13" s="2454"/>
      <c r="BM13" s="2454"/>
      <c r="BN13" s="2454"/>
      <c r="BO13" s="2454"/>
      <c r="BP13" s="2454"/>
      <c r="BQ13" s="2454"/>
      <c r="BR13" s="2454"/>
      <c r="BS13" s="2473"/>
      <c r="BT13" s="2356" t="s">
        <v>1182</v>
      </c>
      <c r="BU13" s="2408"/>
      <c r="BV13" s="2356" t="s">
        <v>1183</v>
      </c>
      <c r="BW13" s="2408"/>
      <c r="BX13" s="2356" t="s">
        <v>1184</v>
      </c>
      <c r="BY13" s="2408"/>
      <c r="BZ13" s="2356" t="s">
        <v>1185</v>
      </c>
      <c r="CA13" s="2408"/>
      <c r="CB13" s="2356" t="s">
        <v>1186</v>
      </c>
      <c r="CC13" s="2408"/>
      <c r="CD13" s="2356" t="s">
        <v>1187</v>
      </c>
      <c r="CE13" s="2408"/>
      <c r="CF13" s="2356" t="s">
        <v>1188</v>
      </c>
      <c r="CG13" s="2408"/>
      <c r="CH13" s="2406" t="s">
        <v>1189</v>
      </c>
      <c r="CI13" s="2407"/>
      <c r="CJ13" s="2407"/>
      <c r="CK13" s="2453"/>
      <c r="CL13" s="2456"/>
      <c r="CM13" s="2454"/>
      <c r="CN13" s="2454"/>
      <c r="CO13" s="2454"/>
      <c r="CP13" s="2454"/>
      <c r="CQ13" s="2454"/>
      <c r="CR13" s="2454"/>
      <c r="CS13" s="2454"/>
      <c r="CT13" s="2454"/>
      <c r="CU13" s="2454"/>
      <c r="CV13" s="2454"/>
      <c r="CW13" s="2454"/>
      <c r="CX13" s="2473"/>
      <c r="CY13" s="2356" t="s">
        <v>1190</v>
      </c>
      <c r="CZ13" s="2408"/>
      <c r="DA13" s="2356" t="s">
        <v>1191</v>
      </c>
      <c r="DB13" s="2408"/>
      <c r="DC13" s="2356" t="s">
        <v>1192</v>
      </c>
      <c r="DD13" s="2408"/>
      <c r="DE13" s="2356" t="s">
        <v>1193</v>
      </c>
      <c r="DF13" s="2408"/>
      <c r="DG13" s="2406" t="s">
        <v>1194</v>
      </c>
      <c r="DH13" s="2407"/>
      <c r="DI13" s="2407"/>
      <c r="DJ13" s="2453"/>
      <c r="DK13" s="2456"/>
      <c r="DL13" s="2454"/>
      <c r="DM13" s="2454"/>
      <c r="DN13" s="2454"/>
      <c r="DO13" s="2454"/>
      <c r="DP13" s="2454"/>
      <c r="DQ13" s="2454"/>
      <c r="DR13" s="2454"/>
      <c r="DS13" s="2454"/>
      <c r="DT13" s="2454"/>
      <c r="DU13" s="2454"/>
      <c r="DV13" s="2454"/>
      <c r="DW13" s="2454"/>
      <c r="DX13" s="2454"/>
      <c r="DY13" s="2454"/>
      <c r="DZ13" s="2454"/>
      <c r="EA13" s="2454"/>
      <c r="EB13" s="2454"/>
      <c r="EC13" s="2454"/>
      <c r="ED13" s="2454"/>
      <c r="EE13" s="2454"/>
      <c r="EF13" s="2454"/>
      <c r="EG13" s="2454"/>
      <c r="EH13" s="2454"/>
      <c r="EI13" s="2454"/>
      <c r="EJ13" s="2454"/>
      <c r="EK13" s="2454"/>
      <c r="EL13" s="2454"/>
      <c r="EM13" s="2454"/>
      <c r="EN13" s="2454"/>
      <c r="EO13" s="2454"/>
      <c r="EP13" s="2454"/>
      <c r="EQ13" s="2454"/>
      <c r="ER13" s="2454"/>
      <c r="ES13" s="2454"/>
      <c r="ET13" s="2454"/>
      <c r="EU13" s="2454"/>
      <c r="EV13" s="2454"/>
      <c r="EW13" s="2454"/>
      <c r="EX13" s="2454"/>
      <c r="EY13" s="2454"/>
      <c r="EZ13" s="2454"/>
      <c r="FA13" s="2454"/>
      <c r="FB13" s="2454"/>
      <c r="FC13" s="2454"/>
      <c r="FD13" s="2454"/>
      <c r="FE13" s="2454"/>
      <c r="FF13" s="2454"/>
      <c r="FG13" s="2454"/>
      <c r="FH13" s="2454"/>
      <c r="FI13" s="2454"/>
      <c r="FJ13" s="2454"/>
      <c r="FK13" s="2454"/>
      <c r="FL13" s="2454"/>
      <c r="FM13" s="2454"/>
      <c r="FN13" s="2454"/>
      <c r="FO13" s="2454"/>
      <c r="FP13" s="2454"/>
      <c r="FQ13" s="2454"/>
      <c r="FR13" s="2454"/>
      <c r="FS13" s="2454"/>
      <c r="FT13" s="2454"/>
      <c r="FU13" s="2454"/>
      <c r="FV13" s="2454"/>
      <c r="FW13" s="2468"/>
      <c r="FX13" s="769"/>
      <c r="GC13" s="933">
        <v>36</v>
      </c>
    </row>
    <row customHeight="1" ht="37.8">
      <c r="D14" s="945"/>
      <c r="E14" s="944"/>
      <c r="F14" s="2225"/>
      <c r="G14" s="2225"/>
      <c r="H14" s="2457"/>
      <c r="I14" s="2457"/>
      <c r="J14" s="2458"/>
      <c r="K14" s="2458"/>
      <c r="L14" s="2458"/>
      <c r="M14" s="2458"/>
      <c r="N14" s="2458"/>
      <c r="O14" s="2356" t="s">
        <v>1195</v>
      </c>
      <c r="P14" s="2408"/>
      <c r="Q14" s="2356" t="s">
        <v>1196</v>
      </c>
      <c r="R14" s="2408"/>
      <c r="S14" s="2357"/>
      <c r="T14" s="2233"/>
      <c r="U14" s="2356" t="s">
        <v>882</v>
      </c>
      <c r="V14" s="2408"/>
      <c r="W14" s="2356" t="s">
        <v>885</v>
      </c>
      <c r="X14" s="2408"/>
      <c r="Y14" s="2356" t="s">
        <v>882</v>
      </c>
      <c r="Z14" s="2408"/>
      <c r="AA14" s="2356" t="s">
        <v>892</v>
      </c>
      <c r="AB14" s="2408"/>
      <c r="AC14" s="2454"/>
      <c r="AD14" s="2454"/>
      <c r="AE14" s="2454"/>
      <c r="AF14" s="2454"/>
      <c r="AG14" s="2454"/>
      <c r="AH14" s="2454"/>
      <c r="AI14" s="2454"/>
      <c r="AJ14" s="2454"/>
      <c r="AK14" s="2454"/>
      <c r="AL14" s="2454"/>
      <c r="AM14" s="2454"/>
      <c r="AN14" s="2454"/>
      <c r="AO14" s="2454"/>
      <c r="AP14" s="2454"/>
      <c r="AQ14" s="2454"/>
      <c r="AR14" s="2454"/>
      <c r="AS14" s="2454"/>
      <c r="AT14" s="2454"/>
      <c r="AU14" s="2454"/>
      <c r="AV14" s="2454"/>
      <c r="AW14" s="2454"/>
      <c r="AX14" s="2454"/>
      <c r="AY14" s="2454"/>
      <c r="AZ14" s="2454"/>
      <c r="BA14" s="2454"/>
      <c r="BB14" s="2454"/>
      <c r="BC14" s="2454"/>
      <c r="BD14" s="2454"/>
      <c r="BE14" s="2454"/>
      <c r="BF14" s="2454"/>
      <c r="BG14" s="2454"/>
      <c r="BH14" s="2454"/>
      <c r="BI14" s="2454"/>
      <c r="BJ14" s="2454"/>
      <c r="BK14" s="2454"/>
      <c r="BL14" s="2454"/>
      <c r="BM14" s="2454"/>
      <c r="BN14" s="2454"/>
      <c r="BO14" s="2454"/>
      <c r="BP14" s="2454"/>
      <c r="BQ14" s="2454"/>
      <c r="BR14" s="2454"/>
      <c r="BS14" s="2473"/>
      <c r="BT14" s="2357"/>
      <c r="BU14" s="2233"/>
      <c r="BV14" s="2357"/>
      <c r="BW14" s="2233"/>
      <c r="BX14" s="2357"/>
      <c r="BY14" s="2233"/>
      <c r="BZ14" s="2357"/>
      <c r="CA14" s="2233"/>
      <c r="CB14" s="2357"/>
      <c r="CC14" s="2233"/>
      <c r="CD14" s="2357"/>
      <c r="CE14" s="2233"/>
      <c r="CF14" s="2357"/>
      <c r="CG14" s="2233"/>
      <c r="CH14" s="2356" t="s">
        <v>1197</v>
      </c>
      <c r="CI14" s="2408"/>
      <c r="CJ14" s="2356" t="s">
        <v>1198</v>
      </c>
      <c r="CK14" s="2408"/>
      <c r="CL14" s="2456"/>
      <c r="CM14" s="2454"/>
      <c r="CN14" s="2454"/>
      <c r="CO14" s="2454"/>
      <c r="CP14" s="2454"/>
      <c r="CQ14" s="2454"/>
      <c r="CR14" s="2454"/>
      <c r="CS14" s="2454"/>
      <c r="CT14" s="2454"/>
      <c r="CU14" s="2454"/>
      <c r="CV14" s="2454"/>
      <c r="CW14" s="2454"/>
      <c r="CX14" s="2473"/>
      <c r="CY14" s="2357"/>
      <c r="CZ14" s="2233"/>
      <c r="DA14" s="2357"/>
      <c r="DB14" s="2233"/>
      <c r="DC14" s="2357"/>
      <c r="DD14" s="2233"/>
      <c r="DE14" s="2357"/>
      <c r="DF14" s="2233"/>
      <c r="DG14" s="2356" t="s">
        <v>1199</v>
      </c>
      <c r="DH14" s="2408"/>
      <c r="DI14" s="2356" t="s">
        <v>1200</v>
      </c>
      <c r="DJ14" s="2408"/>
      <c r="DK14" s="2456"/>
      <c r="DL14" s="2454"/>
      <c r="DM14" s="2454"/>
      <c r="DN14" s="2454"/>
      <c r="DO14" s="2454"/>
      <c r="DP14" s="2454"/>
      <c r="DQ14" s="2454"/>
      <c r="DR14" s="2454"/>
      <c r="DS14" s="2454"/>
      <c r="DT14" s="2454"/>
      <c r="DU14" s="2454"/>
      <c r="DV14" s="2454"/>
      <c r="DW14" s="2454"/>
      <c r="DX14" s="2454"/>
      <c r="DY14" s="2454"/>
      <c r="DZ14" s="2454"/>
      <c r="EA14" s="2454"/>
      <c r="EB14" s="2454"/>
      <c r="EC14" s="2454"/>
      <c r="ED14" s="2454"/>
      <c r="EE14" s="2454"/>
      <c r="EF14" s="2454"/>
      <c r="EG14" s="2454"/>
      <c r="EH14" s="2454"/>
      <c r="EI14" s="2454"/>
      <c r="EJ14" s="2454"/>
      <c r="EK14" s="2454"/>
      <c r="EL14" s="2454"/>
      <c r="EM14" s="2454"/>
      <c r="EN14" s="2454"/>
      <c r="EO14" s="2454"/>
      <c r="EP14" s="2454"/>
      <c r="EQ14" s="2454"/>
      <c r="ER14" s="2454"/>
      <c r="ES14" s="2454"/>
      <c r="ET14" s="2454"/>
      <c r="EU14" s="2454"/>
      <c r="EV14" s="2454"/>
      <c r="EW14" s="2454"/>
      <c r="EX14" s="2454"/>
      <c r="EY14" s="2454"/>
      <c r="EZ14" s="2454"/>
      <c r="FA14" s="2454"/>
      <c r="FB14" s="2454"/>
      <c r="FC14" s="2454"/>
      <c r="FD14" s="2454"/>
      <c r="FE14" s="2454"/>
      <c r="FF14" s="2454"/>
      <c r="FG14" s="2454"/>
      <c r="FH14" s="2454"/>
      <c r="FI14" s="2454"/>
      <c r="FJ14" s="2454"/>
      <c r="FK14" s="2454"/>
      <c r="FL14" s="2454"/>
      <c r="FM14" s="2454"/>
      <c r="FN14" s="2454"/>
      <c r="FO14" s="2454"/>
      <c r="FP14" s="2454"/>
      <c r="FQ14" s="2454"/>
      <c r="FR14" s="2454"/>
      <c r="FS14" s="2454"/>
      <c r="FT14" s="2454"/>
      <c r="FU14" s="2454"/>
      <c r="FV14" s="2454"/>
      <c r="FW14" s="2468"/>
      <c r="FX14" s="769"/>
      <c r="GC14" s="933">
        <v>36</v>
      </c>
    </row>
    <row customHeight="1" ht="37.8">
      <c r="D15" s="945"/>
      <c r="E15" s="944"/>
      <c r="F15" s="2225"/>
      <c r="G15" s="2225"/>
      <c r="H15" s="2457"/>
      <c r="I15" s="2457"/>
      <c r="J15" s="2458"/>
      <c r="K15" s="2458"/>
      <c r="L15" s="2458"/>
      <c r="M15" s="2458"/>
      <c r="N15" s="2458"/>
      <c r="O15" s="2358"/>
      <c r="P15" s="2455"/>
      <c r="Q15" s="2358"/>
      <c r="R15" s="2455"/>
      <c r="S15" s="2358"/>
      <c r="T15" s="2455"/>
      <c r="U15" s="2358"/>
      <c r="V15" s="2455"/>
      <c r="W15" s="2358"/>
      <c r="X15" s="2455"/>
      <c r="Y15" s="2358"/>
      <c r="Z15" s="2455"/>
      <c r="AA15" s="2358"/>
      <c r="AB15" s="2455"/>
      <c r="AC15" s="2454"/>
      <c r="AD15" s="2454"/>
      <c r="AE15" s="2454"/>
      <c r="AF15" s="2454"/>
      <c r="AG15" s="2454"/>
      <c r="AH15" s="2454"/>
      <c r="AI15" s="2454"/>
      <c r="AJ15" s="2454"/>
      <c r="AK15" s="2454"/>
      <c r="AL15" s="2454"/>
      <c r="AM15" s="2454"/>
      <c r="AN15" s="2454"/>
      <c r="AO15" s="2454"/>
      <c r="AP15" s="2454"/>
      <c r="AQ15" s="2454"/>
      <c r="AR15" s="2454"/>
      <c r="AS15" s="2454"/>
      <c r="AT15" s="2454"/>
      <c r="AU15" s="2454"/>
      <c r="AV15" s="2454"/>
      <c r="AW15" s="2454"/>
      <c r="AX15" s="2454"/>
      <c r="AY15" s="2454"/>
      <c r="AZ15" s="2454"/>
      <c r="BA15" s="2454"/>
      <c r="BB15" s="2454"/>
      <c r="BC15" s="2454"/>
      <c r="BD15" s="2454"/>
      <c r="BE15" s="2454"/>
      <c r="BF15" s="2454"/>
      <c r="BG15" s="2454"/>
      <c r="BH15" s="2454"/>
      <c r="BI15" s="2454"/>
      <c r="BJ15" s="2454"/>
      <c r="BK15" s="2454"/>
      <c r="BL15" s="2454"/>
      <c r="BM15" s="2454"/>
      <c r="BN15" s="2454"/>
      <c r="BO15" s="2454"/>
      <c r="BP15" s="2454"/>
      <c r="BQ15" s="2454"/>
      <c r="BR15" s="2454"/>
      <c r="BS15" s="2473"/>
      <c r="BT15" s="2358"/>
      <c r="BU15" s="2455"/>
      <c r="BV15" s="2358"/>
      <c r="BW15" s="2455"/>
      <c r="BX15" s="2358"/>
      <c r="BY15" s="2455"/>
      <c r="BZ15" s="2358"/>
      <c r="CA15" s="2455"/>
      <c r="CB15" s="2358"/>
      <c r="CC15" s="2455"/>
      <c r="CD15" s="2358"/>
      <c r="CE15" s="2455"/>
      <c r="CF15" s="2358"/>
      <c r="CG15" s="2455"/>
      <c r="CH15" s="2358"/>
      <c r="CI15" s="2455"/>
      <c r="CJ15" s="2358"/>
      <c r="CK15" s="2455"/>
      <c r="CL15" s="2456"/>
      <c r="CM15" s="2454"/>
      <c r="CN15" s="2454"/>
      <c r="CO15" s="2454"/>
      <c r="CP15" s="2454"/>
      <c r="CQ15" s="2454"/>
      <c r="CR15" s="2454"/>
      <c r="CS15" s="2454"/>
      <c r="CT15" s="2454"/>
      <c r="CU15" s="2454"/>
      <c r="CV15" s="2454"/>
      <c r="CW15" s="2454"/>
      <c r="CX15" s="2473"/>
      <c r="CY15" s="2358"/>
      <c r="CZ15" s="2455"/>
      <c r="DA15" s="2358"/>
      <c r="DB15" s="2455"/>
      <c r="DC15" s="2358"/>
      <c r="DD15" s="2455"/>
      <c r="DE15" s="2358"/>
      <c r="DF15" s="2455"/>
      <c r="DG15" s="2358"/>
      <c r="DH15" s="2455"/>
      <c r="DI15" s="2358"/>
      <c r="DJ15" s="2455"/>
      <c r="DK15" s="2456"/>
      <c r="DL15" s="2454"/>
      <c r="DM15" s="2454"/>
      <c r="DN15" s="2454"/>
      <c r="DO15" s="2454"/>
      <c r="DP15" s="2454"/>
      <c r="DQ15" s="2454"/>
      <c r="DR15" s="2454"/>
      <c r="DS15" s="2454"/>
      <c r="DT15" s="2454"/>
      <c r="DU15" s="2454"/>
      <c r="DV15" s="2454"/>
      <c r="DW15" s="2454"/>
      <c r="DX15" s="2454"/>
      <c r="DY15" s="2454"/>
      <c r="DZ15" s="2454"/>
      <c r="EA15" s="2454"/>
      <c r="EB15" s="2454"/>
      <c r="EC15" s="2454"/>
      <c r="ED15" s="2454"/>
      <c r="EE15" s="2454"/>
      <c r="EF15" s="2454"/>
      <c r="EG15" s="2454"/>
      <c r="EH15" s="2454"/>
      <c r="EI15" s="2454"/>
      <c r="EJ15" s="2454"/>
      <c r="EK15" s="2454"/>
      <c r="EL15" s="2454"/>
      <c r="EM15" s="2454"/>
      <c r="EN15" s="2454"/>
      <c r="EO15" s="2454"/>
      <c r="EP15" s="2454"/>
      <c r="EQ15" s="2454"/>
      <c r="ER15" s="2454"/>
      <c r="ES15" s="2454"/>
      <c r="ET15" s="2454"/>
      <c r="EU15" s="2454"/>
      <c r="EV15" s="2454"/>
      <c r="EW15" s="2454"/>
      <c r="EX15" s="2454"/>
      <c r="EY15" s="2454"/>
      <c r="EZ15" s="2454"/>
      <c r="FA15" s="2454"/>
      <c r="FB15" s="2454"/>
      <c r="FC15" s="2454"/>
      <c r="FD15" s="2454"/>
      <c r="FE15" s="2454"/>
      <c r="FF15" s="2454"/>
      <c r="FG15" s="2454"/>
      <c r="FH15" s="2454"/>
      <c r="FI15" s="2454"/>
      <c r="FJ15" s="2454"/>
      <c r="FK15" s="2454"/>
      <c r="FL15" s="2454"/>
      <c r="FM15" s="2454"/>
      <c r="FN15" s="2454"/>
      <c r="FO15" s="2454"/>
      <c r="FP15" s="2454"/>
      <c r="FQ15" s="2454"/>
      <c r="FR15" s="2454"/>
      <c r="FS15" s="2454"/>
      <c r="FT15" s="2454"/>
      <c r="FU15" s="2454"/>
      <c r="FV15" s="2454"/>
      <c r="FW15" s="2468"/>
      <c r="FX15" s="769"/>
      <c r="GC15" s="933">
        <v>36</v>
      </c>
    </row>
    <row customHeight="1" ht="12.75">
      <c r="D16" s="945"/>
      <c r="E16" s="944"/>
      <c r="F16" s="2225"/>
      <c r="G16" s="2225"/>
      <c r="H16" s="2457"/>
      <c r="I16" s="2457"/>
      <c r="J16" s="2458"/>
      <c r="K16" s="2458"/>
      <c r="L16" s="2458"/>
      <c r="M16" s="2458"/>
      <c r="N16" s="2458"/>
      <c r="O16" s="2406" t="s">
        <v>872</v>
      </c>
      <c r="P16" s="2453"/>
      <c r="Q16" s="2406" t="s">
        <v>874</v>
      </c>
      <c r="R16" s="2453"/>
      <c r="S16" s="2406" t="s">
        <v>878</v>
      </c>
      <c r="T16" s="2453"/>
      <c r="U16" s="2406" t="s">
        <v>883</v>
      </c>
      <c r="V16" s="2453"/>
      <c r="W16" s="2406" t="s">
        <v>886</v>
      </c>
      <c r="X16" s="2453"/>
      <c r="Y16" s="2406" t="s">
        <v>890</v>
      </c>
      <c r="Z16" s="2453"/>
      <c r="AA16" s="2406" t="s">
        <v>893</v>
      </c>
      <c r="AB16" s="2453"/>
      <c r="AC16" s="2454"/>
      <c r="AD16" s="2454"/>
      <c r="AE16" s="2454"/>
      <c r="AF16" s="2454"/>
      <c r="AG16" s="2454"/>
      <c r="AH16" s="2454"/>
      <c r="AI16" s="2454"/>
      <c r="AJ16" s="2454"/>
      <c r="AK16" s="2454"/>
      <c r="AL16" s="2454"/>
      <c r="AM16" s="2454"/>
      <c r="AN16" s="2454"/>
      <c r="AO16" s="2454"/>
      <c r="AP16" s="2454"/>
      <c r="AQ16" s="2454"/>
      <c r="AR16" s="2454"/>
      <c r="AS16" s="2454"/>
      <c r="AT16" s="2454"/>
      <c r="AU16" s="2454"/>
      <c r="AV16" s="2454"/>
      <c r="AW16" s="2454"/>
      <c r="AX16" s="2454"/>
      <c r="AY16" s="2454"/>
      <c r="AZ16" s="2454"/>
      <c r="BA16" s="2454"/>
      <c r="BB16" s="2454"/>
      <c r="BC16" s="2454"/>
      <c r="BD16" s="2454"/>
      <c r="BE16" s="2454"/>
      <c r="BF16" s="2454"/>
      <c r="BG16" s="2454"/>
      <c r="BH16" s="2454"/>
      <c r="BI16" s="2454"/>
      <c r="BJ16" s="2454"/>
      <c r="BK16" s="2454"/>
      <c r="BL16" s="2454"/>
      <c r="BM16" s="2454"/>
      <c r="BN16" s="2454"/>
      <c r="BO16" s="2454"/>
      <c r="BP16" s="2454"/>
      <c r="BQ16" s="2454"/>
      <c r="BR16" s="2454"/>
      <c r="BS16" s="2473"/>
      <c r="BT16" s="2406" t="s">
        <v>557</v>
      </c>
      <c r="BU16" s="2453"/>
      <c r="BV16" s="2406" t="s">
        <v>557</v>
      </c>
      <c r="BW16" s="2453"/>
      <c r="BX16" s="2406" t="s">
        <v>557</v>
      </c>
      <c r="BY16" s="2453"/>
      <c r="BZ16" s="2406" t="s">
        <v>557</v>
      </c>
      <c r="CA16" s="2453"/>
      <c r="CB16" s="2406" t="s">
        <v>1201</v>
      </c>
      <c r="CC16" s="2453"/>
      <c r="CD16" s="2406" t="s">
        <v>557</v>
      </c>
      <c r="CE16" s="2453"/>
      <c r="CF16" s="2406" t="s">
        <v>1202</v>
      </c>
      <c r="CG16" s="2453"/>
      <c r="CH16" s="2406" t="s">
        <v>1203</v>
      </c>
      <c r="CI16" s="2453"/>
      <c r="CJ16" s="2406" t="s">
        <v>1203</v>
      </c>
      <c r="CK16" s="2453"/>
      <c r="CL16" s="2456"/>
      <c r="CM16" s="2454"/>
      <c r="CN16" s="2454"/>
      <c r="CO16" s="2454"/>
      <c r="CP16" s="2454"/>
      <c r="CQ16" s="2454"/>
      <c r="CR16" s="2454"/>
      <c r="CS16" s="2454"/>
      <c r="CT16" s="2454"/>
      <c r="CU16" s="2454"/>
      <c r="CV16" s="2454"/>
      <c r="CW16" s="2454"/>
      <c r="CX16" s="2473"/>
      <c r="CY16" s="2356" t="s">
        <v>557</v>
      </c>
      <c r="CZ16" s="2408"/>
      <c r="DA16" s="2356" t="s">
        <v>557</v>
      </c>
      <c r="DB16" s="2408"/>
      <c r="DC16" s="2356" t="s">
        <v>557</v>
      </c>
      <c r="DD16" s="2408"/>
      <c r="DE16" s="2406" t="s">
        <v>1201</v>
      </c>
      <c r="DF16" s="2453"/>
      <c r="DG16" s="2406" t="s">
        <v>1204</v>
      </c>
      <c r="DH16" s="2453"/>
      <c r="DI16" s="2406" t="s">
        <v>1204</v>
      </c>
      <c r="DJ16" s="2453"/>
      <c r="DK16" s="2456"/>
      <c r="DL16" s="2454"/>
      <c r="DM16" s="2454"/>
      <c r="DN16" s="2454"/>
      <c r="DO16" s="2454"/>
      <c r="DP16" s="2454"/>
      <c r="DQ16" s="2454"/>
      <c r="DR16" s="2454"/>
      <c r="DS16" s="2454"/>
      <c r="DT16" s="2454"/>
      <c r="DU16" s="2454"/>
      <c r="DV16" s="2454"/>
      <c r="DW16" s="2454"/>
      <c r="DX16" s="2454"/>
      <c r="DY16" s="2454"/>
      <c r="DZ16" s="2454"/>
      <c r="EA16" s="2454"/>
      <c r="EB16" s="2454"/>
      <c r="EC16" s="2454"/>
      <c r="ED16" s="2454"/>
      <c r="EE16" s="2454"/>
      <c r="EF16" s="2454"/>
      <c r="EG16" s="2454"/>
      <c r="EH16" s="2454"/>
      <c r="EI16" s="2454"/>
      <c r="EJ16" s="2454"/>
      <c r="EK16" s="2454"/>
      <c r="EL16" s="2454"/>
      <c r="EM16" s="2454"/>
      <c r="EN16" s="2454"/>
      <c r="EO16" s="2454"/>
      <c r="EP16" s="2454"/>
      <c r="EQ16" s="2454"/>
      <c r="ER16" s="2454"/>
      <c r="ES16" s="2454"/>
      <c r="ET16" s="2454"/>
      <c r="EU16" s="2454"/>
      <c r="EV16" s="2454"/>
      <c r="EW16" s="2454"/>
      <c r="EX16" s="2454"/>
      <c r="EY16" s="2454"/>
      <c r="EZ16" s="2454"/>
      <c r="FA16" s="2454"/>
      <c r="FB16" s="2454"/>
      <c r="FC16" s="2454"/>
      <c r="FD16" s="2454"/>
      <c r="FE16" s="2454"/>
      <c r="FF16" s="2454"/>
      <c r="FG16" s="2454"/>
      <c r="FH16" s="2454"/>
      <c r="FI16" s="2454"/>
      <c r="FJ16" s="2454"/>
      <c r="FK16" s="2454"/>
      <c r="FL16" s="2454"/>
      <c r="FM16" s="2454"/>
      <c r="FN16" s="2454"/>
      <c r="FO16" s="2454"/>
      <c r="FP16" s="2454"/>
      <c r="FQ16" s="2454"/>
      <c r="FR16" s="2454"/>
      <c r="FS16" s="2454"/>
      <c r="FT16" s="2454"/>
      <c r="FU16" s="2454"/>
      <c r="FV16" s="2454"/>
      <c r="FW16" s="2468"/>
      <c r="FX16" s="769"/>
      <c r="GC16" s="933">
        <v>12</v>
      </c>
    </row>
    <row customHeight="1" ht="15.75">
      <c r="E17" s="944"/>
      <c r="F17" s="2225"/>
      <c r="G17" s="2225"/>
      <c r="H17" s="2457"/>
      <c r="I17" s="2457"/>
      <c r="J17" s="2458"/>
      <c r="K17" s="2458"/>
      <c r="L17" s="2458"/>
      <c r="M17" s="2458"/>
      <c r="N17" s="2458"/>
      <c r="O17" s="1198" t="s">
        <v>1205</v>
      </c>
      <c r="P17" s="1198" t="s">
        <v>1206</v>
      </c>
      <c r="Q17" s="1198" t="s">
        <v>1205</v>
      </c>
      <c r="R17" s="1198" t="s">
        <v>1206</v>
      </c>
      <c r="S17" s="1198" t="s">
        <v>1205</v>
      </c>
      <c r="T17" s="1198" t="s">
        <v>1206</v>
      </c>
      <c r="U17" s="1198" t="s">
        <v>1205</v>
      </c>
      <c r="V17" s="1198" t="s">
        <v>1206</v>
      </c>
      <c r="W17" s="1198" t="s">
        <v>1205</v>
      </c>
      <c r="X17" s="1198" t="s">
        <v>1206</v>
      </c>
      <c r="Y17" s="1198" t="s">
        <v>1205</v>
      </c>
      <c r="Z17" s="1198" t="s">
        <v>1206</v>
      </c>
      <c r="AA17" s="1198" t="s">
        <v>1205</v>
      </c>
      <c r="AB17" s="1198" t="s">
        <v>1206</v>
      </c>
      <c r="AC17" s="2454"/>
      <c r="AD17" s="2454"/>
      <c r="AE17" s="2454"/>
      <c r="AF17" s="2454"/>
      <c r="AG17" s="2454"/>
      <c r="AH17" s="2454"/>
      <c r="AI17" s="2454"/>
      <c r="AJ17" s="2454"/>
      <c r="AK17" s="2454"/>
      <c r="AL17" s="2454"/>
      <c r="AM17" s="2454"/>
      <c r="AN17" s="2454"/>
      <c r="AO17" s="2454"/>
      <c r="AP17" s="2454"/>
      <c r="AQ17" s="2454"/>
      <c r="AR17" s="2454"/>
      <c r="AS17" s="2454"/>
      <c r="AT17" s="2454"/>
      <c r="AU17" s="2454"/>
      <c r="AV17" s="2454"/>
      <c r="AW17" s="2454"/>
      <c r="AX17" s="2454"/>
      <c r="AY17" s="2454"/>
      <c r="AZ17" s="2454"/>
      <c r="BA17" s="2454"/>
      <c r="BB17" s="2454"/>
      <c r="BC17" s="2454"/>
      <c r="BD17" s="2454"/>
      <c r="BE17" s="2454"/>
      <c r="BF17" s="2454"/>
      <c r="BG17" s="2454"/>
      <c r="BH17" s="2454"/>
      <c r="BI17" s="2454"/>
      <c r="BJ17" s="2454"/>
      <c r="BK17" s="2454"/>
      <c r="BL17" s="2454"/>
      <c r="BM17" s="2454"/>
      <c r="BN17" s="2454"/>
      <c r="BO17" s="2454"/>
      <c r="BP17" s="2454"/>
      <c r="BQ17" s="2454"/>
      <c r="BR17" s="2454"/>
      <c r="BS17" s="2473"/>
      <c r="BT17" s="1198" t="s">
        <v>1205</v>
      </c>
      <c r="BU17" s="1198" t="s">
        <v>1206</v>
      </c>
      <c r="BV17" s="1198" t="s">
        <v>1205</v>
      </c>
      <c r="BW17" s="1198" t="s">
        <v>1206</v>
      </c>
      <c r="BX17" s="1198" t="s">
        <v>1205</v>
      </c>
      <c r="BY17" s="1198" t="s">
        <v>1206</v>
      </c>
      <c r="BZ17" s="1198" t="s">
        <v>1205</v>
      </c>
      <c r="CA17" s="1198" t="s">
        <v>1206</v>
      </c>
      <c r="CB17" s="1198" t="s">
        <v>1205</v>
      </c>
      <c r="CC17" s="1198" t="s">
        <v>1206</v>
      </c>
      <c r="CD17" s="1198" t="s">
        <v>1205</v>
      </c>
      <c r="CE17" s="1198" t="s">
        <v>1206</v>
      </c>
      <c r="CF17" s="1198" t="s">
        <v>1205</v>
      </c>
      <c r="CG17" s="1198" t="s">
        <v>1206</v>
      </c>
      <c r="CH17" s="1198" t="s">
        <v>1205</v>
      </c>
      <c r="CI17" s="1198" t="s">
        <v>1206</v>
      </c>
      <c r="CJ17" s="1198" t="s">
        <v>1205</v>
      </c>
      <c r="CK17" s="1198" t="s">
        <v>1206</v>
      </c>
      <c r="CL17" s="2456"/>
      <c r="CM17" s="2454"/>
      <c r="CN17" s="2454"/>
      <c r="CO17" s="2454"/>
      <c r="CP17" s="2454"/>
      <c r="CQ17" s="2454"/>
      <c r="CR17" s="2454"/>
      <c r="CS17" s="2454"/>
      <c r="CT17" s="2454"/>
      <c r="CU17" s="2454"/>
      <c r="CV17" s="2454"/>
      <c r="CW17" s="2454"/>
      <c r="CX17" s="2473"/>
      <c r="CY17" s="1198" t="s">
        <v>1205</v>
      </c>
      <c r="CZ17" s="1198" t="s">
        <v>1206</v>
      </c>
      <c r="DA17" s="1198" t="s">
        <v>1205</v>
      </c>
      <c r="DB17" s="1198" t="s">
        <v>1206</v>
      </c>
      <c r="DC17" s="1198" t="s">
        <v>1205</v>
      </c>
      <c r="DD17" s="1198" t="s">
        <v>1206</v>
      </c>
      <c r="DE17" s="1198" t="s">
        <v>1205</v>
      </c>
      <c r="DF17" s="1198" t="s">
        <v>1206</v>
      </c>
      <c r="DG17" s="1198" t="s">
        <v>1205</v>
      </c>
      <c r="DH17" s="1198" t="s">
        <v>1206</v>
      </c>
      <c r="DI17" s="1198" t="s">
        <v>1205</v>
      </c>
      <c r="DJ17" s="1198" t="s">
        <v>1206</v>
      </c>
      <c r="DK17" s="2456"/>
      <c r="DL17" s="2454"/>
      <c r="DM17" s="2454"/>
      <c r="DN17" s="2454"/>
      <c r="DO17" s="2454"/>
      <c r="DP17" s="2454"/>
      <c r="DQ17" s="2454"/>
      <c r="DR17" s="2454"/>
      <c r="DS17" s="2454"/>
      <c r="DT17" s="2454"/>
      <c r="DU17" s="2454"/>
      <c r="DV17" s="2454"/>
      <c r="DW17" s="2454"/>
      <c r="DX17" s="2454"/>
      <c r="DY17" s="2454"/>
      <c r="DZ17" s="2454"/>
      <c r="EA17" s="2454"/>
      <c r="EB17" s="2454"/>
      <c r="EC17" s="2454"/>
      <c r="ED17" s="2454"/>
      <c r="EE17" s="2454"/>
      <c r="EF17" s="2454"/>
      <c r="EG17" s="2454"/>
      <c r="EH17" s="2454"/>
      <c r="EI17" s="2454"/>
      <c r="EJ17" s="2454"/>
      <c r="EK17" s="2454"/>
      <c r="EL17" s="2454"/>
      <c r="EM17" s="2454"/>
      <c r="EN17" s="2454"/>
      <c r="EO17" s="2454"/>
      <c r="EP17" s="2454"/>
      <c r="EQ17" s="2454"/>
      <c r="ER17" s="2454"/>
      <c r="ES17" s="2454"/>
      <c r="ET17" s="2454"/>
      <c r="EU17" s="2454"/>
      <c r="EV17" s="2454"/>
      <c r="EW17" s="2454"/>
      <c r="EX17" s="2454"/>
      <c r="EY17" s="2454"/>
      <c r="EZ17" s="2454"/>
      <c r="FA17" s="2454"/>
      <c r="FB17" s="2454"/>
      <c r="FC17" s="2454"/>
      <c r="FD17" s="2454"/>
      <c r="FE17" s="2454"/>
      <c r="FF17" s="2454"/>
      <c r="FG17" s="2454"/>
      <c r="FH17" s="2454"/>
      <c r="FI17" s="2454"/>
      <c r="FJ17" s="2454"/>
      <c r="FK17" s="2454"/>
      <c r="FL17" s="2454"/>
      <c r="FM17" s="2454"/>
      <c r="FN17" s="2454"/>
      <c r="FO17" s="2454"/>
      <c r="FP17" s="2454"/>
      <c r="FQ17" s="2454"/>
      <c r="FR17" s="2454"/>
      <c r="FS17" s="2454"/>
      <c r="FT17" s="2454"/>
      <c r="FU17" s="2454"/>
      <c r="FV17" s="2454"/>
      <c r="FW17" s="2469"/>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375</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21">
      <c r="A21" s="1331" t="s">
        <v>1044</v>
      </c>
      <c r="B21" s="947"/>
      <c r="C21" s="932"/>
      <c r="D21" s="932"/>
      <c r="E21" s="946" t="s">
        <v>22</v>
      </c>
      <c r="F21" s="1128" t="str">
        <f>INDEX(IP_MAIN_LIST_NAME_IP,MATCH(A21,IP_MAIN_LIST_IP_ID,0))&amp;" ("&amp;INDEX(IP_MAIN_START_DATE,MATCH(A21,IP_MAIN_LIST_IP_ID,0))&amp;"-"&amp;INDEX(IP_MAIN_END_DATE,MATCH(A21,IP_MAIN_LIST_IP_ID,0))&amp;")"</f>
        <v>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 (01.01.2024-31.12.2026)</v>
      </c>
      <c r="G21" s="1210"/>
      <c r="H21" s="1211"/>
      <c r="I21" s="1211"/>
      <c r="J21" s="1211"/>
      <c r="K21" s="1211"/>
      <c r="L21" s="1211"/>
      <c r="M21" s="1211"/>
      <c r="N21" s="1211"/>
      <c r="O21" s="1210"/>
      <c r="P21" s="1210"/>
      <c r="Q21" s="1210"/>
      <c r="R21" s="1210"/>
      <c r="S21" s="1210"/>
      <c r="T21" s="1210"/>
      <c r="U21" s="1212"/>
      <c r="V21" s="1212"/>
      <c r="W21" s="1212"/>
      <c r="X21" s="1212"/>
      <c r="Y21" s="1212"/>
      <c r="Z21" s="1212"/>
      <c r="AA21" s="1212"/>
      <c r="AB21" s="1210"/>
      <c r="AC21" s="1211"/>
      <c r="AD21" s="1211"/>
      <c r="AE21" s="1211"/>
      <c r="AF21" s="1211"/>
      <c r="AG21" s="1211"/>
      <c r="AH21" s="1211"/>
      <c r="AI21" s="1211"/>
      <c r="AJ21" s="1211"/>
      <c r="AK21" s="1211"/>
      <c r="AL21" s="1211"/>
      <c r="AM21" s="1211"/>
      <c r="AN21" s="1211"/>
      <c r="AO21" s="1211"/>
      <c r="AP21" s="1211"/>
      <c r="AQ21" s="1211"/>
      <c r="AR21" s="1211"/>
      <c r="AS21" s="1211"/>
      <c r="AT21" s="1211"/>
      <c r="AU21" s="1211"/>
      <c r="AV21" s="1211"/>
      <c r="AW21" s="1211"/>
      <c r="AX21" s="1211"/>
      <c r="AY21" s="1211"/>
      <c r="AZ21" s="1211"/>
      <c r="BA21" s="1211"/>
      <c r="BB21" s="1211"/>
      <c r="BC21" s="1211"/>
      <c r="BD21" s="1211"/>
      <c r="BE21" s="1211"/>
      <c r="BF21" s="1211"/>
      <c r="BG21" s="1211"/>
      <c r="BH21" s="1211"/>
      <c r="BI21" s="1211"/>
      <c r="BJ21" s="1211"/>
      <c r="BK21" s="1211"/>
      <c r="BL21" s="1211"/>
      <c r="BM21" s="1211"/>
      <c r="BN21" s="1211"/>
      <c r="BO21" s="1211"/>
      <c r="BP21" s="1211"/>
      <c r="BQ21" s="1211"/>
      <c r="BR21" s="1211"/>
      <c r="BS21" s="1211"/>
      <c r="BT21" s="1211"/>
      <c r="BU21" s="1211"/>
      <c r="BV21" s="1211"/>
      <c r="BW21" s="1211"/>
      <c r="BX21" s="1211"/>
      <c r="BY21" s="1211"/>
      <c r="BZ21" s="1211"/>
      <c r="CA21" s="1211"/>
      <c r="CB21" s="1211"/>
      <c r="CC21" s="1211"/>
      <c r="CD21" s="1211"/>
      <c r="CE21" s="1211"/>
      <c r="CF21" s="1211"/>
      <c r="CG21" s="1211"/>
      <c r="CH21" s="1211"/>
      <c r="CI21" s="1211"/>
      <c r="CJ21" s="1211"/>
      <c r="CK21" s="1211"/>
      <c r="CL21" s="1213"/>
      <c r="CM21" s="1213"/>
      <c r="CN21" s="1213"/>
      <c r="CO21" s="1213"/>
      <c r="CP21" s="1213"/>
      <c r="CQ21" s="1213"/>
      <c r="CR21" s="1213"/>
      <c r="CS21" s="1213"/>
      <c r="CT21" s="1213"/>
      <c r="CU21" s="1213"/>
      <c r="CV21" s="1213"/>
      <c r="CW21" s="1213"/>
      <c r="CX21" s="1213"/>
      <c r="CY21" s="1213"/>
      <c r="CZ21" s="1213"/>
      <c r="DA21" s="1213"/>
      <c r="DB21" s="1213"/>
      <c r="DC21" s="1213"/>
      <c r="DD21" s="1213"/>
      <c r="DE21" s="1213"/>
      <c r="DF21" s="1213"/>
      <c r="DG21" s="1213"/>
      <c r="DH21" s="1213"/>
      <c r="DI21" s="1213"/>
      <c r="DJ21" s="1213"/>
      <c r="DK21" s="1213"/>
      <c r="DL21" s="1213"/>
      <c r="DM21" s="1213"/>
      <c r="DN21" s="1213"/>
      <c r="DO21" s="1213"/>
      <c r="DP21" s="1213"/>
      <c r="DQ21" s="1213"/>
      <c r="DR21" s="1213"/>
      <c r="DS21" s="1213"/>
      <c r="DT21" s="1213"/>
      <c r="DU21" s="1213"/>
      <c r="DV21" s="1213"/>
      <c r="DW21" s="1213"/>
      <c r="DX21" s="1213"/>
      <c r="DY21" s="1213"/>
      <c r="DZ21" s="1213"/>
      <c r="EA21" s="1213"/>
      <c r="EB21" s="1213"/>
      <c r="EC21" s="1213"/>
      <c r="ED21" s="1213"/>
      <c r="EE21" s="1213"/>
      <c r="EF21" s="1213"/>
      <c r="EG21" s="1213"/>
      <c r="EH21" s="1213"/>
      <c r="EI21" s="1213"/>
      <c r="EJ21" s="1213"/>
      <c r="EK21" s="1213"/>
      <c r="EL21" s="1213"/>
      <c r="EM21" s="1213"/>
      <c r="EN21" s="1213"/>
      <c r="EO21" s="1213"/>
      <c r="EP21" s="1213"/>
      <c r="EQ21" s="1213"/>
      <c r="ER21" s="1213"/>
      <c r="ES21" s="1213"/>
      <c r="ET21" s="1213"/>
      <c r="EU21" s="1213"/>
      <c r="EV21" s="1213"/>
      <c r="EW21" s="1213"/>
      <c r="EX21" s="1213"/>
      <c r="EY21" s="1213"/>
      <c r="EZ21" s="1213"/>
      <c r="FA21" s="1213"/>
      <c r="FB21" s="1213"/>
      <c r="FC21" s="1213"/>
      <c r="FD21" s="1213"/>
      <c r="FE21" s="1213"/>
      <c r="FF21" s="1213"/>
      <c r="FG21" s="1213"/>
      <c r="FH21" s="1213"/>
      <c r="FI21" s="1213"/>
      <c r="FJ21" s="1213"/>
      <c r="FK21" s="1213"/>
      <c r="FL21" s="1213"/>
      <c r="FM21" s="1213"/>
      <c r="FN21" s="1213"/>
      <c r="FO21" s="1213"/>
      <c r="FP21" s="1213"/>
      <c r="FQ21" s="1213"/>
      <c r="FR21" s="1213"/>
      <c r="FS21" s="1213"/>
      <c r="FT21" s="1213"/>
      <c r="FU21" s="1213"/>
      <c r="FV21" s="1214"/>
      <c r="FW21" s="1208"/>
      <c r="FX21" s="1209"/>
      <c r="FY21" s="932"/>
      <c r="FZ21" s="932"/>
      <c r="GA21" s="932"/>
      <c r="GB21" s="932"/>
    </row>
    <row s="932" customFormat="1" customHeight="1" ht="24.75">
      <c r="A22" s="932" t="s">
        <v>1044</v>
      </c>
      <c r="B22" s="947"/>
      <c r="C22" s="932"/>
      <c r="D22" s="932"/>
      <c r="E22" s="1854"/>
      <c r="F22" s="2409">
        <v>1</v>
      </c>
      <c r="G22" s="2582" t="s">
        <v>1207</v>
      </c>
      <c r="H22" s="1217" t="s">
        <v>66</v>
      </c>
      <c r="I22" s="1986" t="s">
        <v>1208</v>
      </c>
      <c r="J22" s="1218"/>
      <c r="K22" s="1218"/>
      <c r="L22" s="1218"/>
      <c r="M22" s="1218"/>
      <c r="N22" s="1218"/>
      <c r="O22" s="1219"/>
      <c r="P22" s="1219"/>
      <c r="Q22" s="1219"/>
      <c r="R22" s="1219"/>
      <c r="S22" s="1219"/>
      <c r="T22" s="1219"/>
      <c r="U22" s="1219"/>
      <c r="V22" s="1219"/>
      <c r="W22" s="1219"/>
      <c r="X22" s="1219"/>
      <c r="Y22" s="1219"/>
      <c r="Z22" s="1219"/>
      <c r="AA22" s="1219"/>
      <c r="AB22" s="1219"/>
      <c r="AC22" s="1218"/>
      <c r="AD22" s="1218"/>
      <c r="AE22" s="1218"/>
      <c r="AF22" s="1218"/>
      <c r="AG22" s="1218"/>
      <c r="AH22" s="1218"/>
      <c r="AI22" s="1218"/>
      <c r="AJ22" s="1218"/>
      <c r="AK22" s="1218"/>
      <c r="AL22" s="1218"/>
      <c r="AM22" s="1218"/>
      <c r="AN22" s="1218"/>
      <c r="AO22" s="1218"/>
      <c r="AP22" s="1218"/>
      <c r="AQ22" s="1218"/>
      <c r="AR22" s="1218"/>
      <c r="AS22" s="1218"/>
      <c r="AT22" s="1218"/>
      <c r="AU22" s="1218"/>
      <c r="AV22" s="1218"/>
      <c r="AW22" s="1218"/>
      <c r="AX22" s="1218"/>
      <c r="AY22" s="1218"/>
      <c r="AZ22" s="1218"/>
      <c r="BA22" s="1218"/>
      <c r="BB22" s="1218"/>
      <c r="BC22" s="1218"/>
      <c r="BD22" s="1218"/>
      <c r="BE22" s="1218"/>
      <c r="BF22" s="1218"/>
      <c r="BG22" s="1218"/>
      <c r="BH22" s="1218"/>
      <c r="BI22" s="1218"/>
      <c r="BJ22" s="1218"/>
      <c r="BK22" s="1218"/>
      <c r="BL22" s="1218"/>
      <c r="BM22" s="1218"/>
      <c r="BN22" s="1218"/>
      <c r="BO22" s="1218"/>
      <c r="BP22" s="1218"/>
      <c r="BQ22" s="1218"/>
      <c r="BR22" s="1218"/>
      <c r="BS22" s="1218"/>
      <c r="BT22" s="1219">
        <v>0</v>
      </c>
      <c r="BU22" s="1219">
        <v>22.85</v>
      </c>
      <c r="BV22" s="1219">
        <v>0</v>
      </c>
      <c r="BW22" s="1219">
        <v>25</v>
      </c>
      <c r="BX22" s="1219">
        <v>0</v>
      </c>
      <c r="BY22" s="1219">
        <v>0</v>
      </c>
      <c r="BZ22" s="1219">
        <v>0</v>
      </c>
      <c r="CA22" s="1219">
        <v>26</v>
      </c>
      <c r="CB22" s="1219">
        <v>0</v>
      </c>
      <c r="CC22" s="1219">
        <v>0</v>
      </c>
      <c r="CD22" s="1219">
        <v>6.5</v>
      </c>
      <c r="CE22" s="1219">
        <v>2.444</v>
      </c>
      <c r="CF22" s="1219">
        <v>0.06</v>
      </c>
      <c r="CG22" s="1219">
        <v>0.06</v>
      </c>
      <c r="CH22" s="1219">
        <v>1.377</v>
      </c>
      <c r="CI22" s="1219">
        <v>0.7601</v>
      </c>
      <c r="CJ22" s="1219">
        <v>0.153</v>
      </c>
      <c r="CK22" s="1219">
        <v>0.7601</v>
      </c>
      <c r="CL22" s="1218"/>
      <c r="CM22" s="1218"/>
      <c r="CN22" s="1218"/>
      <c r="CO22" s="1218"/>
      <c r="CP22" s="1218"/>
      <c r="CQ22" s="1218"/>
      <c r="CR22" s="1218"/>
      <c r="CS22" s="1218"/>
      <c r="CT22" s="1218"/>
      <c r="CU22" s="1218"/>
      <c r="CV22" s="1218"/>
      <c r="CW22" s="1218"/>
      <c r="CX22" s="1218"/>
      <c r="CY22" s="1219"/>
      <c r="CZ22" s="1219"/>
      <c r="DA22" s="1219"/>
      <c r="DB22" s="1219"/>
      <c r="DC22" s="1219"/>
      <c r="DD22" s="1219"/>
      <c r="DE22" s="1219"/>
      <c r="DF22" s="1219"/>
      <c r="DG22" s="1219"/>
      <c r="DH22" s="1219"/>
      <c r="DI22" s="1219"/>
      <c r="DJ22" s="1219"/>
      <c r="DK22" s="1218"/>
      <c r="DL22" s="1218"/>
      <c r="DM22" s="1218"/>
      <c r="DN22" s="1218"/>
      <c r="DO22" s="1218"/>
      <c r="DP22" s="1218"/>
      <c r="DQ22" s="1218"/>
      <c r="DR22" s="1218"/>
      <c r="DS22" s="1218"/>
      <c r="DT22" s="1218"/>
      <c r="DU22" s="1218"/>
      <c r="DV22" s="1218"/>
      <c r="DW22" s="1218"/>
      <c r="DX22" s="1218"/>
      <c r="DY22" s="1218"/>
      <c r="DZ22" s="1218"/>
      <c r="EA22" s="1218"/>
      <c r="EB22" s="1218"/>
      <c r="EC22" s="1218"/>
      <c r="ED22" s="1218"/>
      <c r="EE22" s="1218"/>
      <c r="EF22" s="1218"/>
      <c r="EG22" s="1218"/>
      <c r="EH22" s="1218"/>
      <c r="EI22" s="1218"/>
      <c r="EJ22" s="1218"/>
      <c r="EK22" s="1218"/>
      <c r="EL22" s="1218"/>
      <c r="EM22" s="1218"/>
      <c r="EN22" s="1218"/>
      <c r="EO22" s="1218"/>
      <c r="EP22" s="1218"/>
      <c r="EQ22" s="1218"/>
      <c r="ER22" s="1218"/>
      <c r="ES22" s="1218"/>
      <c r="ET22" s="1218"/>
      <c r="EU22" s="1218"/>
      <c r="EV22" s="1218"/>
      <c r="EW22" s="1218"/>
      <c r="EX22" s="1218"/>
      <c r="EY22" s="1218"/>
      <c r="EZ22" s="1218"/>
      <c r="FA22" s="1218"/>
      <c r="FB22" s="1218"/>
      <c r="FC22" s="1218"/>
      <c r="FD22" s="1218"/>
      <c r="FE22" s="1218"/>
      <c r="FF22" s="1218"/>
      <c r="FG22" s="1218"/>
      <c r="FH22" s="1218"/>
      <c r="FI22" s="1218"/>
      <c r="FJ22" s="1218"/>
      <c r="FK22" s="1218"/>
      <c r="FL22" s="1218"/>
      <c r="FM22" s="1218"/>
      <c r="FN22" s="1218"/>
      <c r="FO22" s="1218"/>
      <c r="FP22" s="1218"/>
      <c r="FQ22" s="1218"/>
      <c r="FR22" s="1218"/>
      <c r="FS22" s="1218"/>
      <c r="FT22" s="1218"/>
      <c r="FU22" s="1218"/>
      <c r="FV22" s="1218"/>
      <c r="FW22" s="1218"/>
      <c r="FX22" s="1209"/>
      <c r="FY22" s="932"/>
      <c r="FZ22" s="932"/>
      <c r="GA22" s="932"/>
      <c r="GB22" s="932"/>
    </row>
    <row s="932" customFormat="1" customHeight="1" ht="12">
      <c r="A23" s="932" t="s">
        <v>1044</v>
      </c>
      <c r="B23" s="947"/>
      <c r="C23" s="932"/>
      <c r="D23" s="932"/>
      <c r="E23" s="932"/>
      <c r="F23" s="2658"/>
      <c r="G23" s="2659" t="s">
        <v>1209</v>
      </c>
      <c r="H23" s="2660"/>
      <c r="I23" s="2660"/>
      <c r="J23" s="2660"/>
      <c r="K23" s="2660"/>
      <c r="L23" s="2660"/>
      <c r="M23" s="2660"/>
      <c r="N23" s="2660"/>
      <c r="O23" s="2660"/>
      <c r="P23" s="2660"/>
      <c r="Q23" s="2660"/>
      <c r="R23" s="2660"/>
      <c r="S23" s="2660"/>
      <c r="T23" s="2660"/>
      <c r="U23" s="2660"/>
      <c r="V23" s="2660"/>
      <c r="W23" s="2660"/>
      <c r="X23" s="2660"/>
      <c r="Y23" s="2660"/>
      <c r="Z23" s="2660"/>
      <c r="AA23" s="2660"/>
      <c r="AB23" s="2660"/>
      <c r="AC23" s="2660"/>
      <c r="AD23" s="2660"/>
      <c r="AE23" s="2660"/>
      <c r="AF23" s="2660"/>
      <c r="AG23" s="2660"/>
      <c r="AH23" s="2660"/>
      <c r="AI23" s="2660"/>
      <c r="AJ23" s="2660"/>
      <c r="AK23" s="2660"/>
      <c r="AL23" s="2660"/>
      <c r="AM23" s="2660"/>
      <c r="AN23" s="2660"/>
      <c r="AO23" s="2660"/>
      <c r="AP23" s="2660"/>
      <c r="AQ23" s="2660"/>
      <c r="AR23" s="2660"/>
      <c r="AS23" s="2660"/>
      <c r="AT23" s="2660"/>
      <c r="AU23" s="2660"/>
      <c r="AV23" s="2660"/>
      <c r="AW23" s="2660"/>
      <c r="AX23" s="2660"/>
      <c r="AY23" s="2660"/>
      <c r="AZ23" s="2660"/>
      <c r="BA23" s="2660"/>
      <c r="BB23" s="2660"/>
      <c r="BC23" s="2660"/>
      <c r="BD23" s="2660"/>
      <c r="BE23" s="2660"/>
      <c r="BF23" s="2660"/>
      <c r="BG23" s="2660"/>
      <c r="BH23" s="2660"/>
      <c r="BI23" s="2660"/>
      <c r="BJ23" s="2660"/>
      <c r="BK23" s="2660"/>
      <c r="BL23" s="2660"/>
      <c r="BM23" s="2660"/>
      <c r="BN23" s="2660"/>
      <c r="BO23" s="2660"/>
      <c r="BP23" s="2660"/>
      <c r="BQ23" s="2660"/>
      <c r="BR23" s="2660"/>
      <c r="BS23" s="2660"/>
      <c r="BT23" s="2660"/>
      <c r="BU23" s="2660"/>
      <c r="BV23" s="2660"/>
      <c r="BW23" s="2660"/>
      <c r="BX23" s="2660"/>
      <c r="BY23" s="2660"/>
      <c r="BZ23" s="2660"/>
      <c r="CA23" s="2660"/>
      <c r="CB23" s="2660"/>
      <c r="CC23" s="2660"/>
      <c r="CD23" s="2660"/>
      <c r="CE23" s="2660"/>
      <c r="CF23" s="2660"/>
      <c r="CG23" s="2660"/>
      <c r="CH23" s="2660"/>
      <c r="CI23" s="2660"/>
      <c r="CJ23" s="2660"/>
      <c r="CK23" s="2660"/>
      <c r="CL23" s="2660"/>
      <c r="CM23" s="2660"/>
      <c r="CN23" s="2660"/>
      <c r="CO23" s="2660"/>
      <c r="CP23" s="2660"/>
      <c r="CQ23" s="2660"/>
      <c r="CR23" s="2660"/>
      <c r="CS23" s="2660"/>
      <c r="CT23" s="2660"/>
      <c r="CU23" s="2660"/>
      <c r="CV23" s="2660"/>
      <c r="CW23" s="2660"/>
      <c r="CX23" s="2660"/>
      <c r="CY23" s="2660"/>
      <c r="CZ23" s="2660"/>
      <c r="DA23" s="2660"/>
      <c r="DB23" s="2660"/>
      <c r="DC23" s="2660"/>
      <c r="DD23" s="2660"/>
      <c r="DE23" s="2660"/>
      <c r="DF23" s="2660"/>
      <c r="DG23" s="2660"/>
      <c r="DH23" s="2660"/>
      <c r="DI23" s="2660"/>
      <c r="DJ23" s="2660"/>
      <c r="DK23" s="2660"/>
      <c r="DL23" s="2660"/>
      <c r="DM23" s="2660"/>
      <c r="DN23" s="2660"/>
      <c r="DO23" s="2660"/>
      <c r="DP23" s="2660"/>
      <c r="DQ23" s="2660"/>
      <c r="DR23" s="2660"/>
      <c r="DS23" s="2660"/>
      <c r="DT23" s="2660"/>
      <c r="DU23" s="2660"/>
      <c r="DV23" s="2660"/>
      <c r="DW23" s="2660"/>
      <c r="DX23" s="2660"/>
      <c r="DY23" s="2660"/>
      <c r="DZ23" s="2660"/>
      <c r="EA23" s="2660"/>
      <c r="EB23" s="2660"/>
      <c r="EC23" s="2660"/>
      <c r="ED23" s="2660"/>
      <c r="EE23" s="2660"/>
      <c r="EF23" s="2660"/>
      <c r="EG23" s="2660"/>
      <c r="EH23" s="2660"/>
      <c r="EI23" s="2660"/>
      <c r="EJ23" s="2660"/>
      <c r="EK23" s="2660"/>
      <c r="EL23" s="2660"/>
      <c r="EM23" s="2660"/>
      <c r="EN23" s="2660"/>
      <c r="EO23" s="2660"/>
      <c r="EP23" s="2660"/>
      <c r="EQ23" s="2660"/>
      <c r="ER23" s="2660"/>
      <c r="ES23" s="2660"/>
      <c r="ET23" s="2660"/>
      <c r="EU23" s="2660"/>
      <c r="EV23" s="2660"/>
      <c r="EW23" s="2660"/>
      <c r="EX23" s="2660"/>
      <c r="EY23" s="2660"/>
      <c r="EZ23" s="2660"/>
      <c r="FA23" s="2660"/>
      <c r="FB23" s="2660"/>
      <c r="FC23" s="2660"/>
      <c r="FD23" s="2660"/>
      <c r="FE23" s="2660"/>
      <c r="FF23" s="2660"/>
      <c r="FG23" s="2660"/>
      <c r="FH23" s="2660"/>
      <c r="FI23" s="2660"/>
      <c r="FJ23" s="2660"/>
      <c r="FK23" s="2660"/>
      <c r="FL23" s="2660"/>
      <c r="FM23" s="2660"/>
      <c r="FN23" s="2660"/>
      <c r="FO23" s="2660"/>
      <c r="FP23" s="2660"/>
      <c r="FQ23" s="2660"/>
      <c r="FR23" s="2660"/>
      <c r="FS23" s="2660"/>
      <c r="FT23" s="2660"/>
      <c r="FU23" s="2660"/>
      <c r="FV23" s="2660"/>
      <c r="FW23" s="2661"/>
      <c r="FX23" s="1829"/>
      <c r="FY23" s="1069"/>
      <c r="FZ23" s="1069"/>
      <c r="GA23" s="1069"/>
      <c r="GB23" s="1069"/>
    </row>
    <row s="932" customFormat="1" customHeight="1" ht="12.75">
      <c r="A24" s="948"/>
      <c r="B24" s="948"/>
      <c r="C24" s="948"/>
      <c r="D24" s="948"/>
      <c r="E24" s="948"/>
      <c r="F24" s="946"/>
      <c r="G24" s="946"/>
      <c r="H24" s="946"/>
      <c r="I24" s="946"/>
      <c r="J24" s="946"/>
      <c r="K24" s="946"/>
      <c r="L24" s="946"/>
      <c r="M24" s="946"/>
      <c r="N24" s="946"/>
      <c r="O24" s="946"/>
      <c r="P24" s="946"/>
      <c r="Q24" s="946"/>
      <c r="R24" s="946"/>
      <c r="S24" s="949"/>
      <c r="T24" s="949"/>
      <c r="U24" s="946"/>
      <c r="V24" s="946"/>
      <c r="W24" s="946"/>
      <c r="X24" s="946"/>
      <c r="Y24" s="946"/>
      <c r="Z24" s="946"/>
      <c r="AA24" s="946"/>
      <c r="AB24" s="946"/>
      <c r="AC24" s="946"/>
      <c r="AD24" s="946"/>
      <c r="AE24" s="946"/>
      <c r="AF24" s="946"/>
      <c r="AG24" s="946"/>
      <c r="AH24" s="946"/>
      <c r="AI24" s="946"/>
      <c r="AJ24" s="946"/>
      <c r="AK24" s="946"/>
      <c r="AL24" s="946"/>
      <c r="AM24" s="946"/>
      <c r="AN24" s="946"/>
      <c r="AO24" s="946"/>
      <c r="AP24" s="946"/>
      <c r="AQ24" s="946"/>
      <c r="AR24" s="946"/>
      <c r="AS24" s="946"/>
      <c r="AT24" s="946"/>
      <c r="AU24" s="946"/>
      <c r="AV24" s="946"/>
      <c r="AW24" s="946"/>
      <c r="AX24" s="946"/>
      <c r="AY24" s="946"/>
      <c r="AZ24" s="946"/>
      <c r="BA24" s="946"/>
      <c r="BB24" s="946"/>
      <c r="BC24" s="946"/>
      <c r="BD24" s="946"/>
      <c r="BE24" s="946"/>
      <c r="BF24" s="946"/>
      <c r="BG24" s="946"/>
      <c r="BH24" s="946"/>
      <c r="BI24" s="946"/>
      <c r="BJ24" s="946"/>
      <c r="BK24" s="946"/>
      <c r="BL24" s="946"/>
      <c r="BM24" s="946"/>
      <c r="BN24" s="946"/>
      <c r="BO24" s="946"/>
      <c r="BP24" s="946"/>
      <c r="BQ24" s="946"/>
      <c r="BR24" s="946"/>
      <c r="BS24" s="946"/>
      <c r="BT24" s="946"/>
      <c r="BU24" s="946"/>
      <c r="BV24" s="946"/>
      <c r="BW24" s="946"/>
      <c r="BX24" s="946"/>
      <c r="BY24" s="946"/>
      <c r="BZ24" s="946"/>
      <c r="CA24" s="946"/>
      <c r="CB24" s="946"/>
      <c r="CC24" s="946"/>
      <c r="CD24" s="946"/>
      <c r="CE24" s="946"/>
      <c r="CF24" s="946"/>
      <c r="CG24" s="946"/>
      <c r="CH24" s="946"/>
      <c r="CI24" s="946"/>
      <c r="CJ24" s="946"/>
      <c r="CK24" s="946"/>
      <c r="CL24" s="946"/>
      <c r="CM24" s="946"/>
      <c r="CN24" s="946"/>
      <c r="CO24" s="946"/>
      <c r="CP24" s="946"/>
      <c r="CQ24" s="946"/>
      <c r="CR24" s="946"/>
      <c r="CS24" s="946"/>
      <c r="CT24" s="946"/>
      <c r="CU24" s="946"/>
      <c r="CV24" s="946"/>
      <c r="CW24" s="946"/>
      <c r="CX24" s="946"/>
      <c r="CY24" s="946"/>
      <c r="CZ24" s="946"/>
      <c r="DA24" s="946"/>
      <c r="DB24" s="946"/>
      <c r="DC24" s="946"/>
      <c r="DD24" s="946"/>
      <c r="DE24" s="946"/>
      <c r="DF24" s="946"/>
      <c r="DG24" s="946"/>
      <c r="DH24" s="946"/>
      <c r="DI24" s="946"/>
      <c r="DJ24" s="946"/>
      <c r="DK24" s="946"/>
      <c r="DL24" s="946"/>
      <c r="DM24" s="946"/>
      <c r="DN24" s="946"/>
      <c r="DO24" s="946"/>
      <c r="DP24" s="946"/>
      <c r="DQ24" s="946"/>
      <c r="DR24" s="946"/>
      <c r="DS24" s="946"/>
      <c r="DT24" s="946"/>
      <c r="DU24" s="946"/>
      <c r="DV24" s="946"/>
      <c r="DW24" s="946"/>
      <c r="DX24" s="946"/>
      <c r="DY24" s="946"/>
      <c r="DZ24" s="946"/>
      <c r="EA24" s="946"/>
      <c r="EB24" s="946"/>
      <c r="EC24" s="946"/>
      <c r="ED24" s="946"/>
      <c r="EE24" s="946"/>
      <c r="EF24" s="946"/>
      <c r="EG24" s="946"/>
      <c r="EH24" s="946"/>
      <c r="EI24" s="946"/>
      <c r="EJ24" s="946"/>
      <c r="EK24" s="946"/>
      <c r="EL24" s="946"/>
      <c r="EM24" s="946"/>
      <c r="EN24" s="946"/>
      <c r="EO24" s="946"/>
      <c r="EP24" s="946"/>
      <c r="EQ24" s="946"/>
      <c r="ER24" s="946"/>
      <c r="ES24" s="946"/>
      <c r="ET24" s="946"/>
      <c r="EU24" s="946"/>
      <c r="EV24" s="946"/>
      <c r="EW24" s="946"/>
      <c r="EX24" s="946"/>
      <c r="EY24" s="946"/>
      <c r="EZ24" s="946"/>
      <c r="FA24" s="946"/>
      <c r="FB24" s="946"/>
      <c r="FC24" s="946"/>
      <c r="FD24" s="946"/>
      <c r="FE24" s="946"/>
      <c r="FF24" s="946"/>
      <c r="FG24" s="946"/>
      <c r="FH24" s="946"/>
      <c r="FI24" s="946"/>
      <c r="FJ24" s="946"/>
      <c r="FK24" s="946"/>
      <c r="FL24" s="946"/>
      <c r="FM24" s="946"/>
      <c r="FN24" s="946"/>
      <c r="FO24" s="946"/>
      <c r="FP24" s="946"/>
      <c r="FQ24" s="946"/>
      <c r="FR24" s="946"/>
      <c r="FS24" s="946"/>
      <c r="FT24" s="946"/>
      <c r="FU24" s="946"/>
      <c r="FV24" s="946"/>
      <c r="FW24" s="946"/>
      <c r="FX24" s="948"/>
      <c r="FY24" s="948"/>
      <c r="FZ24" s="948"/>
      <c r="GA24" s="948"/>
      <c r="GB24" s="948"/>
      <c r="GC24" s="929">
        <v>12</v>
      </c>
    </row>
    <row s="932" customFormat="1" customHeight="1" ht="12.75">
      <c r="A25" s="948"/>
      <c r="B25" s="948"/>
      <c r="C25" s="948"/>
      <c r="D25" s="948"/>
      <c r="E25" s="948"/>
      <c r="FX25" s="948"/>
      <c r="FY25" s="948"/>
      <c r="FZ25" s="948"/>
      <c r="GA25" s="948"/>
      <c r="GB25" s="948"/>
      <c r="GC25" s="929">
        <v>12</v>
      </c>
    </row>
    <row s="1070" customFormat="1" customHeight="1" ht="12.75">
      <c r="A26" s="1069"/>
      <c r="B26" s="1069"/>
      <c r="C26" s="1069"/>
      <c r="D26" s="1069"/>
      <c r="E26" s="1069"/>
      <c r="O26" s="1071"/>
      <c r="P26" s="1071"/>
      <c r="Q26" s="1071"/>
      <c r="R26" s="1071"/>
      <c r="S26" s="1071"/>
      <c r="T26" s="1071"/>
      <c r="U26" s="1071"/>
      <c r="V26" s="1071"/>
      <c r="W26" s="1071"/>
      <c r="X26" s="1071"/>
      <c r="Y26" s="1071"/>
      <c r="Z26" s="1071"/>
      <c r="AA26" s="1071"/>
      <c r="AB26" s="1071"/>
      <c r="AC26" s="1071"/>
      <c r="AD26" s="1071"/>
      <c r="AE26" s="1071"/>
      <c r="AF26" s="1071"/>
      <c r="AG26" s="1071"/>
      <c r="AH26" s="1071"/>
      <c r="AI26" s="1071"/>
      <c r="AJ26" s="1071"/>
      <c r="AK26" s="1071"/>
      <c r="AL26" s="1071"/>
      <c r="AM26" s="1071"/>
      <c r="AN26" s="1071"/>
      <c r="AO26" s="1071"/>
      <c r="AP26" s="1071"/>
      <c r="AQ26" s="1071"/>
      <c r="AR26" s="1071"/>
      <c r="AS26" s="1071"/>
      <c r="AT26" s="1071"/>
      <c r="AU26" s="1071"/>
      <c r="AV26" s="1071"/>
      <c r="AW26" s="1071"/>
      <c r="AX26" s="1071"/>
      <c r="AY26" s="1071"/>
      <c r="AZ26" s="1071"/>
      <c r="BA26" s="1071"/>
      <c r="BB26" s="1071"/>
      <c r="BC26" s="1071"/>
      <c r="BD26" s="1071"/>
      <c r="BE26" s="1071"/>
      <c r="BF26" s="1071"/>
      <c r="BG26" s="1071"/>
      <c r="BH26" s="1071"/>
      <c r="BI26" s="1071"/>
      <c r="BJ26" s="1071"/>
      <c r="BK26" s="1071"/>
      <c r="BL26" s="1071"/>
      <c r="BM26" s="1071"/>
      <c r="BN26" s="1071"/>
      <c r="BO26" s="1071"/>
      <c r="BP26" s="1071"/>
      <c r="BQ26" s="1071"/>
      <c r="BR26" s="1071"/>
      <c r="BS26" s="1071"/>
      <c r="BT26" s="1072"/>
      <c r="BU26" s="1072"/>
      <c r="BV26" s="1072"/>
      <c r="BW26" s="1072"/>
      <c r="BX26" s="1072"/>
      <c r="BY26" s="1072"/>
      <c r="BZ26" s="1072"/>
      <c r="CA26" s="1072"/>
      <c r="CB26" s="1072"/>
      <c r="CC26" s="1072"/>
      <c r="CD26" s="1072"/>
      <c r="CE26" s="1072"/>
      <c r="CF26" s="1072"/>
      <c r="CG26" s="1072"/>
      <c r="CH26" s="1072"/>
      <c r="CI26" s="1072"/>
      <c r="CJ26" s="1072"/>
      <c r="CK26" s="1072"/>
      <c r="CL26" s="1072"/>
      <c r="CM26" s="1072"/>
      <c r="CN26" s="1072"/>
      <c r="CO26" s="1072"/>
      <c r="CP26" s="1072"/>
      <c r="CQ26" s="1072"/>
      <c r="CR26" s="1072"/>
      <c r="CS26" s="1072"/>
      <c r="CT26" s="1072"/>
      <c r="CU26" s="1072"/>
      <c r="CV26" s="1072"/>
      <c r="CW26" s="1072"/>
      <c r="CX26" s="1072"/>
      <c r="CY26" s="1072"/>
      <c r="CZ26" s="1072"/>
      <c r="DA26" s="1072"/>
      <c r="DB26" s="1072"/>
      <c r="DC26" s="1072"/>
      <c r="DD26" s="1072"/>
      <c r="DE26" s="1072"/>
      <c r="DF26" s="1072"/>
      <c r="DG26" s="1072"/>
      <c r="DH26" s="1072"/>
      <c r="DI26" s="1072"/>
      <c r="DJ26" s="1072"/>
      <c r="DK26" s="1072"/>
      <c r="DL26" s="1072"/>
      <c r="DM26" s="1072"/>
      <c r="DN26" s="1072"/>
      <c r="DO26" s="1072"/>
      <c r="DP26" s="1072"/>
      <c r="DQ26" s="1072"/>
      <c r="DR26" s="1072"/>
      <c r="DS26" s="1072"/>
      <c r="DT26" s="1072"/>
      <c r="DU26" s="1072"/>
      <c r="DV26" s="1072"/>
      <c r="DW26" s="1072"/>
      <c r="DX26" s="1072"/>
      <c r="FX26" s="1069"/>
      <c r="FY26" s="1069"/>
      <c r="FZ26" s="1069"/>
      <c r="GA26" s="1069"/>
      <c r="GB26" s="1069"/>
      <c r="GC26" s="1070">
        <v>12</v>
      </c>
    </row>
    <row customHeight="1" ht="12.75">
      <c r="S27" s="945"/>
      <c r="T27" s="945"/>
      <c r="U27" s="945"/>
      <c r="V27" s="945"/>
      <c r="W27" s="945"/>
      <c r="X27" s="945"/>
      <c r="Y27" s="945"/>
      <c r="Z27" s="945"/>
      <c r="AA27" s="945"/>
      <c r="AB27" s="945"/>
      <c r="FX27" s="945"/>
      <c r="FY27" s="945"/>
      <c r="FZ27" s="945"/>
      <c r="GA27" s="945"/>
      <c r="GB27" s="945"/>
      <c r="GC27" s="933">
        <v>12</v>
      </c>
    </row>
    <row customHeight="1" ht="12" hidden="1">
      <c r="A28" s="933" t="s">
        <v>81</v>
      </c>
      <c r="B28" s="943">
        <v>0</v>
      </c>
      <c r="C28" s="933">
        <v>0</v>
      </c>
      <c r="D28" s="933">
        <v>0</v>
      </c>
      <c r="E28" s="933">
        <v>3</v>
      </c>
      <c r="F28" s="933">
        <v>6</v>
      </c>
      <c r="G28" s="933">
        <v>18</v>
      </c>
      <c r="H28" s="933">
        <v>27</v>
      </c>
      <c r="I28" s="933">
        <v>18</v>
      </c>
      <c r="J28" s="933">
        <v>0</v>
      </c>
      <c r="K28" s="933">
        <v>0</v>
      </c>
      <c r="L28" s="933">
        <v>0</v>
      </c>
      <c r="M28" s="933">
        <v>0</v>
      </c>
      <c r="N28" s="933">
        <v>0</v>
      </c>
      <c r="O28" s="933">
        <v>0</v>
      </c>
      <c r="P28" s="933">
        <v>0</v>
      </c>
      <c r="Q28" s="933">
        <v>0</v>
      </c>
      <c r="R28" s="933">
        <v>0</v>
      </c>
      <c r="S28" s="933">
        <v>0</v>
      </c>
      <c r="T28" s="933">
        <v>0</v>
      </c>
      <c r="U28" s="933">
        <v>0</v>
      </c>
      <c r="V28" s="933">
        <v>0</v>
      </c>
      <c r="W28" s="933">
        <v>0</v>
      </c>
      <c r="X28" s="933">
        <v>0</v>
      </c>
      <c r="Y28" s="933">
        <v>0</v>
      </c>
      <c r="Z28" s="933">
        <v>0</v>
      </c>
      <c r="AA28" s="933">
        <v>0</v>
      </c>
      <c r="AB28" s="933">
        <v>0</v>
      </c>
      <c r="AC28" s="933">
        <v>0</v>
      </c>
      <c r="AD28" s="933">
        <v>0</v>
      </c>
      <c r="AE28" s="933">
        <v>0</v>
      </c>
      <c r="AF28" s="933">
        <v>0</v>
      </c>
      <c r="AG28" s="933">
        <v>0</v>
      </c>
      <c r="AH28" s="933">
        <v>0</v>
      </c>
      <c r="AI28" s="933">
        <v>0</v>
      </c>
      <c r="AJ28" s="933">
        <v>0</v>
      </c>
      <c r="AK28" s="933">
        <v>0</v>
      </c>
      <c r="AL28" s="933">
        <v>0</v>
      </c>
      <c r="AM28" s="933">
        <v>0</v>
      </c>
      <c r="AN28" s="933">
        <v>0</v>
      </c>
      <c r="AO28" s="933">
        <v>0</v>
      </c>
      <c r="AP28" s="933">
        <v>0</v>
      </c>
      <c r="AQ28" s="933">
        <v>0</v>
      </c>
      <c r="AR28" s="933">
        <v>0</v>
      </c>
      <c r="AS28" s="933">
        <v>0</v>
      </c>
      <c r="AT28" s="933">
        <v>0</v>
      </c>
      <c r="AU28" s="933">
        <v>0</v>
      </c>
      <c r="AV28" s="933">
        <v>0</v>
      </c>
      <c r="AW28" s="933">
        <v>0</v>
      </c>
      <c r="AX28" s="933">
        <v>0</v>
      </c>
      <c r="AY28" s="933">
        <v>0</v>
      </c>
      <c r="AZ28" s="933">
        <v>0</v>
      </c>
      <c r="BA28" s="933">
        <v>0</v>
      </c>
      <c r="BB28" s="933">
        <v>0</v>
      </c>
      <c r="BC28" s="933">
        <v>0</v>
      </c>
      <c r="BD28" s="933">
        <v>0</v>
      </c>
      <c r="BE28" s="933">
        <v>0</v>
      </c>
      <c r="BF28" s="933">
        <v>0</v>
      </c>
      <c r="BG28" s="933">
        <v>0</v>
      </c>
      <c r="BH28" s="933">
        <v>0</v>
      </c>
      <c r="BI28" s="933">
        <v>0</v>
      </c>
      <c r="BJ28" s="933">
        <v>0</v>
      </c>
      <c r="BK28" s="933">
        <v>0</v>
      </c>
      <c r="BL28" s="933">
        <v>0</v>
      </c>
      <c r="BM28" s="933">
        <v>0</v>
      </c>
      <c r="BN28" s="933">
        <v>0</v>
      </c>
      <c r="BO28" s="933">
        <v>0</v>
      </c>
      <c r="BP28" s="933">
        <v>0</v>
      </c>
      <c r="BQ28" s="933">
        <v>0</v>
      </c>
      <c r="BR28" s="933">
        <v>0</v>
      </c>
      <c r="BS28" s="933">
        <v>0</v>
      </c>
      <c r="BT28" s="933">
        <v>0</v>
      </c>
      <c r="BU28" s="933">
        <v>0</v>
      </c>
      <c r="BV28" s="933">
        <v>0</v>
      </c>
      <c r="BW28" s="933">
        <v>0</v>
      </c>
      <c r="BX28" s="933">
        <v>0</v>
      </c>
      <c r="BY28" s="933">
        <v>0</v>
      </c>
      <c r="BZ28" s="933">
        <v>0</v>
      </c>
      <c r="CA28" s="933">
        <v>0</v>
      </c>
      <c r="CB28" s="933">
        <v>0</v>
      </c>
      <c r="CC28" s="933">
        <v>0</v>
      </c>
      <c r="CD28" s="933">
        <v>0</v>
      </c>
      <c r="CE28" s="933">
        <v>0</v>
      </c>
      <c r="CF28" s="933">
        <v>0</v>
      </c>
      <c r="CG28" s="933">
        <v>0</v>
      </c>
      <c r="CH28" s="933">
        <v>0</v>
      </c>
      <c r="CI28" s="933">
        <v>0</v>
      </c>
      <c r="CJ28" s="933">
        <v>0</v>
      </c>
      <c r="CK28" s="933">
        <v>0</v>
      </c>
      <c r="CL28" s="933">
        <v>0</v>
      </c>
      <c r="CM28" s="933">
        <v>0</v>
      </c>
      <c r="CN28" s="933">
        <v>0</v>
      </c>
      <c r="CO28" s="933">
        <v>0</v>
      </c>
      <c r="CP28" s="933">
        <v>0</v>
      </c>
      <c r="CQ28" s="933">
        <v>0</v>
      </c>
      <c r="CR28" s="933">
        <v>0</v>
      </c>
      <c r="CS28" s="933">
        <v>0</v>
      </c>
      <c r="CT28" s="933">
        <v>0</v>
      </c>
      <c r="CU28" s="933">
        <v>0</v>
      </c>
      <c r="CV28" s="933">
        <v>0</v>
      </c>
      <c r="CW28" s="933">
        <v>0</v>
      </c>
      <c r="CX28" s="933">
        <v>0</v>
      </c>
      <c r="CY28" s="933">
        <v>0</v>
      </c>
      <c r="CZ28" s="933">
        <v>0</v>
      </c>
      <c r="DA28" s="933">
        <v>0</v>
      </c>
      <c r="DB28" s="933">
        <v>0</v>
      </c>
      <c r="DC28" s="933">
        <v>0</v>
      </c>
      <c r="DD28" s="933">
        <v>0</v>
      </c>
      <c r="DE28" s="933">
        <v>0</v>
      </c>
      <c r="DF28" s="933">
        <v>0</v>
      </c>
      <c r="DG28" s="933">
        <v>0</v>
      </c>
      <c r="DH28" s="933">
        <v>0</v>
      </c>
      <c r="DI28" s="933">
        <v>0</v>
      </c>
      <c r="DJ28" s="933">
        <v>0</v>
      </c>
      <c r="DK28" s="933">
        <v>0</v>
      </c>
      <c r="DL28" s="933">
        <v>0</v>
      </c>
      <c r="DM28" s="933">
        <v>0</v>
      </c>
      <c r="DN28" s="933">
        <v>0</v>
      </c>
      <c r="DO28" s="933">
        <v>0</v>
      </c>
      <c r="DP28" s="933">
        <v>0</v>
      </c>
      <c r="DQ28" s="933">
        <v>0</v>
      </c>
      <c r="DR28" s="933">
        <v>0</v>
      </c>
      <c r="DS28" s="933">
        <v>0</v>
      </c>
      <c r="DT28" s="933">
        <v>0</v>
      </c>
      <c r="DU28" s="933">
        <v>0</v>
      </c>
      <c r="DV28" s="933">
        <v>0</v>
      </c>
      <c r="DW28" s="933">
        <v>0</v>
      </c>
      <c r="DX28" s="933">
        <v>0</v>
      </c>
      <c r="DY28" s="933">
        <v>0</v>
      </c>
      <c r="DZ28" s="933">
        <v>0</v>
      </c>
      <c r="EA28" s="933">
        <v>0</v>
      </c>
      <c r="EB28" s="933">
        <v>0</v>
      </c>
      <c r="EC28" s="933">
        <v>0</v>
      </c>
      <c r="ED28" s="933">
        <v>0</v>
      </c>
      <c r="EE28" s="933">
        <v>0</v>
      </c>
      <c r="EF28" s="933">
        <v>0</v>
      </c>
      <c r="EG28" s="933">
        <v>0</v>
      </c>
      <c r="EH28" s="933">
        <v>0</v>
      </c>
      <c r="EI28" s="933">
        <v>0</v>
      </c>
      <c r="EJ28" s="933">
        <v>0</v>
      </c>
      <c r="EK28" s="933">
        <v>0</v>
      </c>
      <c r="EL28" s="933">
        <v>0</v>
      </c>
      <c r="EM28" s="933">
        <v>0</v>
      </c>
      <c r="EN28" s="933">
        <v>0</v>
      </c>
      <c r="EO28" s="933">
        <v>0</v>
      </c>
      <c r="EP28" s="933">
        <v>0</v>
      </c>
      <c r="EQ28" s="933">
        <v>0</v>
      </c>
      <c r="ER28" s="933">
        <v>0</v>
      </c>
      <c r="ES28" s="933">
        <v>0</v>
      </c>
      <c r="ET28" s="933">
        <v>0</v>
      </c>
      <c r="EU28" s="933">
        <v>0</v>
      </c>
      <c r="EV28" s="933">
        <v>0</v>
      </c>
      <c r="EW28" s="933">
        <v>0</v>
      </c>
      <c r="EX28" s="933">
        <v>0</v>
      </c>
      <c r="EY28" s="933">
        <v>0</v>
      </c>
      <c r="EZ28" s="933">
        <v>0</v>
      </c>
      <c r="FA28" s="933">
        <v>0</v>
      </c>
      <c r="FB28" s="933">
        <v>0</v>
      </c>
      <c r="FC28" s="933">
        <v>0</v>
      </c>
      <c r="FD28" s="933">
        <v>0</v>
      </c>
      <c r="FE28" s="933">
        <v>0</v>
      </c>
      <c r="FF28" s="933">
        <v>0</v>
      </c>
      <c r="FG28" s="933">
        <v>0</v>
      </c>
      <c r="FH28" s="933">
        <v>0</v>
      </c>
      <c r="FI28" s="933">
        <v>0</v>
      </c>
      <c r="FJ28" s="933">
        <v>0</v>
      </c>
      <c r="FK28" s="933">
        <v>0</v>
      </c>
      <c r="FL28" s="933">
        <v>0</v>
      </c>
      <c r="FM28" s="933">
        <v>0</v>
      </c>
      <c r="FN28" s="933">
        <v>0</v>
      </c>
      <c r="FO28" s="933">
        <v>0</v>
      </c>
      <c r="FP28" s="933">
        <v>0</v>
      </c>
      <c r="FQ28" s="933">
        <v>0</v>
      </c>
      <c r="FR28" s="933">
        <v>0</v>
      </c>
      <c r="FS28" s="933">
        <v>0</v>
      </c>
      <c r="FT28" s="933">
        <v>0</v>
      </c>
      <c r="FU28" s="933">
        <v>0</v>
      </c>
      <c r="FV28" s="933">
        <v>0</v>
      </c>
      <c r="FW28" s="933">
        <v>0</v>
      </c>
      <c r="FX28" s="933">
        <v>8</v>
      </c>
      <c r="FY28" s="933">
        <v>8</v>
      </c>
      <c r="FZ28" s="933">
        <v>8</v>
      </c>
      <c r="GA28" s="933">
        <v>8</v>
      </c>
      <c r="GB28" s="933">
        <v>8</v>
      </c>
      <c r="GC28"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FFAA1-622A-77C8-50ED-0.ED5BDA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2" t="s">
        <v>576</v>
      </c>
      <c r="D2" s="546"/>
      <c r="E2" s="670"/>
      <c r="F2" s="1767" t="str">
        <f>IF(TEMPLATE_SPHERE="HEAT","Гкал/час","тыс. куб. м/сутки")</f>
        <v>тыс. куб. м/сутки</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5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57"/>
      <c r="F5" s="2257"/>
      <c r="G5" s="2257"/>
      <c r="H5" s="2257"/>
      <c r="I5" s="544"/>
      <c r="S5" s="512">
        <v>38</v>
      </c>
    </row>
    <row customHeight="1" ht="15.75">
      <c r="C6" s="183"/>
      <c r="D6" s="2196" t="str">
        <f>IF(org=0,"Не определено",org)</f>
        <v>ИМУП «ПОСЖИЛКОМСЕРВИС»</v>
      </c>
      <c r="E6" s="2196"/>
      <c r="F6" s="2196"/>
      <c r="G6" s="2196"/>
      <c r="H6" s="2196"/>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117</v>
      </c>
      <c r="S8" s="512">
        <v>1</v>
      </c>
    </row>
    <row customHeight="1" ht="15.75">
      <c r="C9" s="183"/>
      <c r="D9" s="718"/>
      <c r="E9" s="2387" t="s">
        <v>105</v>
      </c>
      <c r="F9" s="2388"/>
      <c r="G9" s="823" t="str">
        <f>IF(G8="","",INDEX(DIFFERENTIATION_UNMERGE_VD,MATCH(G8,DIFFERENTIATION_ID_DIFF,0)))</f>
        <v/>
      </c>
      <c r="H9" s="823" t="str">
        <f>IF(H8="","",INDEX(DIFFERENTIATION_UNMERGE_VD,MATCH(H8,DIFFERENTIATION_ID_DIFF,0)))</f>
        <v>Холодное водоснабжение. Питьевая вода</v>
      </c>
      <c r="I9" s="2147" t="s">
        <v>300</v>
      </c>
      <c r="S9" s="512">
        <v>15</v>
      </c>
    </row>
    <row s="1642" customFormat="1" customHeight="1" ht="15.75">
      <c r="A10" s="766"/>
      <c r="C10" s="183"/>
      <c r="D10" s="718"/>
      <c r="E10" s="2387" t="s">
        <v>563</v>
      </c>
      <c r="F10" s="2388"/>
      <c r="G10" s="823" t="str">
        <f>IF(G8="","",INDEX(DIFFERENTIATION_UNMERGE_AREA,MATCH(G8,DIFFERENTIATION_ID_DIFF,0)))</f>
        <v/>
      </c>
      <c r="H10" s="823" t="str">
        <f>IF(H8="","",INDEX(DIFFERENTIATION_UNMERGE_AREA,MATCH(H8,DIFFERENTIATION_ID_DIFF,0)))</f>
        <v>Территория 1</v>
      </c>
      <c r="I10" s="2147"/>
      <c r="R10" s="682"/>
      <c r="S10" s="765">
        <v>15</v>
      </c>
    </row>
    <row s="1642" customFormat="1" customHeight="1" ht="15.75">
      <c r="A11" s="766"/>
      <c r="C11" s="183"/>
      <c r="D11" s="718"/>
      <c r="E11" s="2387" t="s">
        <v>564</v>
      </c>
      <c r="F11" s="2388"/>
      <c r="G11" s="823" t="str">
        <f>IF(G8="","",INDEX(DIFFERENTIATION_UNMERGE_SYSTEM,MATCH(G8,DIFFERENTIATION_ID_DIFF,0)))</f>
        <v/>
      </c>
      <c r="H11" s="823" t="str">
        <f>IF(H8="","",INDEX(DIFFERENTIATION_UNMERGE_SYSTEM,MATCH(H8,DIFFERENTIATION_ID_DIFF,0)))</f>
        <v>без дифференциации</v>
      </c>
      <c r="I11" s="2147"/>
      <c r="R11" s="682"/>
      <c r="S11" s="765">
        <v>15</v>
      </c>
    </row>
    <row s="1642" customFormat="1" customHeight="1" ht="15.75">
      <c r="A12" s="766"/>
      <c r="C12" s="183"/>
      <c r="D12" s="2389" t="s">
        <v>299</v>
      </c>
      <c r="E12" s="2390"/>
      <c r="F12" s="2390"/>
      <c r="G12" s="894"/>
      <c r="H12" s="894"/>
      <c r="I12" s="2147"/>
      <c r="R12" s="682"/>
      <c r="S12" s="765">
        <v>15</v>
      </c>
    </row>
    <row customHeight="1" ht="35.699999999999996">
      <c r="C13" s="183"/>
      <c r="D13" s="768" t="s">
        <v>87</v>
      </c>
      <c r="E13" s="767" t="s">
        <v>301</v>
      </c>
      <c r="F13" s="767" t="s">
        <v>565</v>
      </c>
      <c r="G13" s="815" t="s">
        <v>302</v>
      </c>
      <c r="H13" s="761" t="s">
        <v>302</v>
      </c>
      <c r="I13" s="2147"/>
      <c r="S13" s="512">
        <v>34</v>
      </c>
    </row>
    <row customHeight="1" ht="15" hidden="1">
      <c r="C14" s="183"/>
      <c r="D14" s="600" t="s">
        <v>109</v>
      </c>
      <c r="E14" s="600" t="s">
        <v>110</v>
      </c>
      <c r="F14" s="600" t="s">
        <v>89</v>
      </c>
      <c r="G14" s="666" t="str">
        <f>G1&amp;".1"</f>
        <v>.1</v>
      </c>
      <c r="H14" s="666" t="str">
        <f>H1&amp;".1"</f>
        <v>4.1</v>
      </c>
      <c r="I14" s="296"/>
      <c r="S14" s="512">
        <v>0</v>
      </c>
    </row>
    <row customHeight="1" ht="15.75">
      <c r="A15" s="512"/>
      <c r="C15" s="533"/>
      <c r="D15" s="528">
        <v>1</v>
      </c>
      <c r="E15" s="1934" t="str">
        <f>TP_P_A</f>
        <v>Количество поданных заявлений </v>
      </c>
      <c r="F15" s="528" t="s">
        <v>1210</v>
      </c>
      <c r="G15" s="692"/>
      <c r="H15" s="692"/>
      <c r="I15" s="21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2">
        <v>15</v>
      </c>
    </row>
    <row customHeight="1" ht="15.75">
      <c r="A16" s="512"/>
      <c r="C16" s="533"/>
      <c r="D16" s="528">
        <v>2</v>
      </c>
      <c r="E16" s="1934" t="str">
        <f>TP_P_B</f>
        <v>Количество исполненных заявлений </v>
      </c>
      <c r="F16" s="528" t="s">
        <v>1210</v>
      </c>
      <c r="G16" s="692"/>
      <c r="H16" s="692"/>
      <c r="I16" s="21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2">
        <v>15</v>
      </c>
    </row>
    <row customHeight="1" ht="77.7">
      <c r="A17" s="512"/>
      <c r="C17" s="533"/>
      <c r="D17" s="528">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8" t="s">
        <v>1210</v>
      </c>
      <c r="G17" s="692"/>
      <c r="H17" s="692"/>
      <c r="I17" s="21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2">
        <v>74</v>
      </c>
    </row>
    <row customHeight="1" ht="54.75">
      <c r="A18" s="512"/>
      <c r="C18" s="533"/>
      <c r="D18" s="528">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8" t="s">
        <v>305</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8" t="str">
        <f>IF(TEMPLATE_SPHERE="HEAT","Гкал/час","тыс. куб. м/сутки")</f>
        <v>тыс. куб. м/сутки</v>
      </c>
      <c r="G19" s="694">
        <f>SUM(G20:G22)</f>
        <v>0</v>
      </c>
      <c r="H19" s="694">
        <f>SUM(H20:H22)</f>
        <v>0</v>
      </c>
      <c r="I19" s="21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2">
        <v>57</v>
      </c>
    </row>
    <row customHeight="1" ht="15" hidden="1">
      <c r="D20" s="516" t="s">
        <v>1211</v>
      </c>
      <c r="E20" s="695"/>
      <c r="F20" s="516"/>
      <c r="G20" s="516"/>
      <c r="H20" s="516"/>
      <c r="I20" s="1769"/>
      <c r="S20" s="512">
        <v>0</v>
      </c>
    </row>
    <row customHeight="1" ht="29.25">
      <c r="C21" s="458"/>
      <c r="D21" s="546" t="s">
        <v>312</v>
      </c>
      <c r="E21" s="677"/>
      <c r="F21" s="1767" t="str">
        <f>IF(TEMPLATE_SPHERE="HEAT","Гкал/час","тыс. куб. м/сутки")</f>
        <v>тыс. куб. м/сутки</v>
      </c>
      <c r="G21" s="687"/>
      <c r="H21" s="687"/>
      <c r="I21" s="218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2">
        <v>28</v>
      </c>
    </row>
    <row customHeight="1" ht="15.75">
      <c r="A22" s="512"/>
      <c r="C22" s="512"/>
      <c r="D22" s="354"/>
      <c r="E22" s="587" t="s">
        <v>1212</v>
      </c>
      <c r="F22" s="579"/>
      <c r="G22" s="579"/>
      <c r="H22" s="579"/>
      <c r="I22" s="2191"/>
      <c r="R22" s="512"/>
      <c r="S22" s="512">
        <v>15</v>
      </c>
    </row>
    <row customHeight="1" ht="22.5" hidden="1">
      <c r="A23" s="456" t="s">
        <v>81</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C8EB7-AD8D-4093-279E-0.CD0FB76E}"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17"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7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75"/>
      <c r="F5" s="2475"/>
      <c r="G5" s="2476"/>
      <c r="Q5" s="90">
        <v>28</v>
      </c>
    </row>
    <row s="1642" customFormat="1" customHeight="1" ht="18.75">
      <c r="A6" s="889"/>
      <c r="B6" s="424"/>
      <c r="C6" s="383"/>
      <c r="D6" s="2477" t="str">
        <f>IF(org=0,"Не определено",org)</f>
        <v>ИМУП «ПОСЖИЛКОМСЕРВИС»</v>
      </c>
      <c r="E6" s="2478"/>
      <c r="F6" s="2478"/>
      <c r="G6" s="2479"/>
      <c r="I6" s="507"/>
      <c r="J6" s="507"/>
      <c r="Q6" s="765">
        <v>18</v>
      </c>
    </row>
    <row customHeight="1" ht="14.699999999999998">
      <c r="C7" s="103"/>
      <c r="D7" s="91"/>
      <c r="E7" s="102"/>
      <c r="F7" s="759"/>
      <c r="G7" s="200"/>
      <c r="Q7" s="90">
        <v>14</v>
      </c>
    </row>
    <row s="1642" customFormat="1" customHeight="1" ht="1.05">
      <c r="A8" s="1675"/>
      <c r="B8" s="1167"/>
      <c r="C8" s="383"/>
      <c r="D8" s="370"/>
      <c r="E8" s="396"/>
      <c r="F8" s="759"/>
      <c r="G8" s="200"/>
      <c r="I8" s="1631"/>
      <c r="J8" s="1631"/>
      <c r="Q8" s="1638">
        <v>1</v>
      </c>
    </row>
    <row customHeight="1" ht="14.699999999999998">
      <c r="C9" s="103"/>
      <c r="D9" s="2229" t="s">
        <v>299</v>
      </c>
      <c r="E9" s="2229"/>
      <c r="F9" s="2229"/>
      <c r="G9" s="2409" t="s">
        <v>300</v>
      </c>
      <c r="Q9" s="90">
        <v>14</v>
      </c>
    </row>
    <row customHeight="1" ht="24">
      <c r="C10" s="103"/>
      <c r="D10" s="112" t="s">
        <v>87</v>
      </c>
      <c r="E10" s="115" t="s">
        <v>301</v>
      </c>
      <c r="F10" s="115" t="s">
        <v>389</v>
      </c>
      <c r="G10" s="2409"/>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5" t="s">
        <v>305</v>
      </c>
      <c r="G12" s="158"/>
      <c r="Q12" s="90">
        <v>62</v>
      </c>
    </row>
    <row customHeight="1" ht="24">
      <c r="A13" s="199"/>
      <c r="C13" s="103"/>
      <c r="D13" s="154" t="s">
        <v>1114</v>
      </c>
      <c r="E13" s="201"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305</v>
      </c>
      <c r="G13" s="158"/>
      <c r="Q13" s="90">
        <v>23</v>
      </c>
    </row>
    <row customHeight="1" ht="14.699999999999998">
      <c r="A14" s="199"/>
      <c r="C14" s="103"/>
      <c r="D14" s="154" t="s">
        <v>1150</v>
      </c>
      <c r="E14" s="202"/>
      <c r="F14" s="220"/>
      <c r="G14" s="21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1213</v>
      </c>
      <c r="F15" s="208"/>
      <c r="G15" s="2191"/>
      <c r="Q15" s="90">
        <v>15</v>
      </c>
    </row>
    <row customHeight="1" ht="14.699999999999998">
      <c r="A16" s="199"/>
      <c r="C16" s="103"/>
      <c r="D16" s="154" t="s">
        <v>1116</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5" t="s">
        <v>305</v>
      </c>
      <c r="G16" s="344"/>
      <c r="Q16" s="90">
        <v>14</v>
      </c>
    </row>
    <row customHeight="1" ht="14.699999999999998">
      <c r="A17" s="199"/>
      <c r="C17" s="103"/>
      <c r="D17" s="154" t="s">
        <v>1158</v>
      </c>
      <c r="E17" s="202"/>
      <c r="F17" s="392"/>
      <c r="G17" s="21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1214</v>
      </c>
      <c r="F18" s="345"/>
      <c r="G18" s="2191"/>
      <c r="I18" s="357"/>
      <c r="J18" s="357"/>
      <c r="Q18" s="349">
        <v>21</v>
      </c>
    </row>
    <row s="1642" customFormat="1" customHeight="1" ht="256.5" hidden="1">
      <c r="A19" s="350"/>
      <c r="B19" s="424"/>
      <c r="C19" s="383"/>
      <c r="D19" s="891" t="s">
        <v>1118</v>
      </c>
      <c r="E19" s="890" t="s">
        <v>1215</v>
      </c>
      <c r="F19" s="392"/>
      <c r="G19" s="344" t="s">
        <v>1216</v>
      </c>
      <c r="I19" s="507"/>
      <c r="J19" s="507"/>
      <c r="Q19" s="765">
        <v>0</v>
      </c>
    </row>
    <row s="1642" customFormat="1" customHeight="1" ht="14.699999999999998">
      <c r="A20" s="350"/>
      <c r="B20" s="153"/>
      <c r="C20" s="314"/>
      <c r="D20" s="892">
        <v>2</v>
      </c>
      <c r="E20" s="337" t="s">
        <v>1217</v>
      </c>
      <c r="F20" s="205" t="s">
        <v>305</v>
      </c>
      <c r="G20" s="344"/>
      <c r="I20" s="357"/>
      <c r="J20" s="357"/>
      <c r="Q20" s="349">
        <v>14</v>
      </c>
    </row>
    <row s="1642" customFormat="1" customHeight="1" ht="18.75" hidden="1">
      <c r="A21" s="350"/>
      <c r="B21" s="153"/>
      <c r="C21" s="314"/>
      <c r="D21" s="340" t="s">
        <v>665</v>
      </c>
      <c r="E21" s="339"/>
      <c r="F21" s="338"/>
      <c r="G21" s="348"/>
      <c r="H21" s="341"/>
      <c r="I21" s="357"/>
      <c r="J21" s="357"/>
      <c r="Q21" s="349">
        <v>0</v>
      </c>
    </row>
    <row customHeight="1" ht="15.75">
      <c r="A22" s="199"/>
      <c r="C22" s="103"/>
      <c r="D22" s="116"/>
      <c r="E22" s="210" t="s">
        <v>321</v>
      </c>
      <c r="F22" s="345"/>
      <c r="G22" s="346"/>
      <c r="Q22" s="90">
        <v>15</v>
      </c>
    </row>
    <row s="1642" customFormat="1" customHeight="1" ht="22.5" hidden="1">
      <c r="A23" s="350"/>
      <c r="B23" s="1167"/>
      <c r="C23" s="383"/>
      <c r="D23" s="1679" t="s">
        <v>110</v>
      </c>
      <c r="E23" s="204" t="s">
        <v>1218</v>
      </c>
      <c r="F23" s="1676" t="s">
        <v>305</v>
      </c>
      <c r="G23" s="352"/>
      <c r="I23" s="1631"/>
      <c r="J23" s="1631"/>
      <c r="Q23" s="1638">
        <v>0</v>
      </c>
    </row>
    <row s="1642" customFormat="1" customHeight="1" ht="14.25" hidden="1">
      <c r="A24" s="350"/>
      <c r="B24" s="1167"/>
      <c r="C24" s="383"/>
      <c r="D24" s="1679" t="s">
        <v>737</v>
      </c>
      <c r="E24" s="1678" t="s">
        <v>1219</v>
      </c>
      <c r="F24" s="1676" t="s">
        <v>305</v>
      </c>
      <c r="G24" s="344"/>
      <c r="I24" s="1631"/>
      <c r="J24" s="1631"/>
      <c r="Q24" s="1638">
        <v>0</v>
      </c>
    </row>
    <row s="1642" customFormat="1" customHeight="1" ht="14.25" hidden="1">
      <c r="A25" s="350"/>
      <c r="B25" s="1167"/>
      <c r="C25" s="383"/>
      <c r="D25" s="1679" t="s">
        <v>740</v>
      </c>
      <c r="E25" s="202"/>
      <c r="F25" s="392"/>
      <c r="G25" s="2189" t="s">
        <v>1220</v>
      </c>
      <c r="I25" s="1631"/>
      <c r="J25" s="1631"/>
      <c r="Q25" s="1638">
        <v>0</v>
      </c>
    </row>
    <row s="1642" customFormat="1" customHeight="1" ht="14.25" hidden="1">
      <c r="A26" s="350"/>
      <c r="B26" s="1167"/>
      <c r="C26" s="383"/>
      <c r="D26" s="354"/>
      <c r="E26" s="356" t="s">
        <v>1221</v>
      </c>
      <c r="F26" s="345"/>
      <c r="G26" s="2191"/>
      <c r="I26" s="1631"/>
      <c r="J26" s="1631"/>
      <c r="Q26" s="1638">
        <v>0</v>
      </c>
    </row>
    <row s="1642" customFormat="1" customHeight="1" ht="33.75" hidden="1">
      <c r="A27" s="350"/>
      <c r="B27" s="1373"/>
      <c r="C27" s="383"/>
      <c r="D27" s="2083" t="s">
        <v>89</v>
      </c>
      <c r="E27" s="204" t="s">
        <v>1222</v>
      </c>
      <c r="F27" s="2084" t="s">
        <v>305</v>
      </c>
      <c r="G27" s="1532"/>
      <c r="I27" s="1631"/>
      <c r="J27" s="1631"/>
      <c r="Q27" s="1638">
        <v>0</v>
      </c>
    </row>
    <row s="1642" customFormat="1" customHeight="1" ht="22.5" hidden="1">
      <c r="A28" s="350"/>
      <c r="B28" s="1373"/>
      <c r="C28" s="383"/>
      <c r="D28" s="2083" t="s">
        <v>323</v>
      </c>
      <c r="E28" s="2085" t="s">
        <v>1223</v>
      </c>
      <c r="F28" s="2084" t="s">
        <v>305</v>
      </c>
      <c r="G28" s="344"/>
      <c r="I28" s="1631"/>
      <c r="J28" s="1631"/>
      <c r="Q28" s="1638">
        <v>0</v>
      </c>
    </row>
    <row s="1642" customFormat="1" customHeight="1" ht="14.25" hidden="1">
      <c r="A29" s="350"/>
      <c r="B29" s="1373"/>
      <c r="C29" s="383"/>
      <c r="D29" s="2083" t="s">
        <v>325</v>
      </c>
      <c r="E29" s="2630"/>
      <c r="F29" s="669"/>
      <c r="G29" s="2189" t="s">
        <v>1224</v>
      </c>
      <c r="I29" s="1631"/>
      <c r="J29" s="1631"/>
      <c r="Q29" s="1638">
        <v>0</v>
      </c>
    </row>
    <row s="1642" customFormat="1" customHeight="1" ht="14.25" hidden="1">
      <c r="A30" s="350"/>
      <c r="B30" s="1373"/>
      <c r="C30" s="383"/>
      <c r="D30" s="354"/>
      <c r="E30" s="578" t="s">
        <v>1221</v>
      </c>
      <c r="F30" s="345"/>
      <c r="G30" s="2191"/>
      <c r="I30" s="1631"/>
      <c r="J30" s="1631"/>
      <c r="Q30" s="1638">
        <v>0</v>
      </c>
    </row>
    <row customHeight="1" ht="3">
      <c r="Q31" s="90">
        <v>3</v>
      </c>
    </row>
    <row customHeight="1" ht="14.699999999999998">
      <c r="D32" s="343"/>
      <c r="E32" s="342"/>
      <c r="F32" s="322"/>
      <c r="G32" s="322"/>
      <c r="H32" s="322"/>
      <c r="I32" s="322"/>
      <c r="J32" s="322"/>
      <c r="K32" s="322"/>
      <c r="L32" s="322"/>
      <c r="M32" s="322"/>
      <c r="N32" s="322"/>
      <c r="O32" s="322"/>
      <c r="P32" s="322"/>
      <c r="Q32" s="90">
        <v>14</v>
      </c>
    </row>
    <row customHeight="1" ht="14.699999999999998">
      <c r="D33" s="343"/>
      <c r="E33" s="589"/>
      <c r="Q33" s="90">
        <v>14</v>
      </c>
    </row>
    <row customHeight="1" ht="14.699999999999998">
      <c r="Q34" s="90">
        <v>14</v>
      </c>
    </row>
    <row customHeight="1" ht="14.699999999999998">
      <c r="E35" s="765"/>
      <c r="Q35" s="90">
        <v>14</v>
      </c>
    </row>
    <row customHeight="1" ht="22.5" hidden="1">
      <c r="A36" s="108" t="s">
        <v>81</v>
      </c>
      <c r="B36" s="153">
        <v>0</v>
      </c>
      <c r="C36" s="104">
        <v>3</v>
      </c>
      <c r="D36" s="90">
        <v>6</v>
      </c>
      <c r="E36" s="90">
        <v>64</v>
      </c>
      <c r="F36" s="90">
        <v>64</v>
      </c>
      <c r="G36" s="90">
        <v>140</v>
      </c>
      <c r="H36" s="90">
        <v>10</v>
      </c>
      <c r="I36" s="162">
        <v>10</v>
      </c>
      <c r="J36" s="162">
        <v>10</v>
      </c>
      <c r="K36" s="90">
        <v>10</v>
      </c>
      <c r="L36" s="90">
        <v>10</v>
      </c>
      <c r="M36" s="90">
        <v>10</v>
      </c>
      <c r="N36" s="90">
        <v>10</v>
      </c>
      <c r="O36" s="90">
        <v>10</v>
      </c>
      <c r="P36" s="90">
        <v>10</v>
      </c>
      <c r="Q36" s="90">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86D16-9E27-6222-26C7-0.1E8B166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89"/>
      <c r="B2" s="1167"/>
      <c r="C2" s="1736" t="s">
        <v>576</v>
      </c>
      <c r="D2" s="1679"/>
      <c r="E2" s="206"/>
      <c r="F2" s="1676"/>
      <c r="G2" s="1676" t="s">
        <v>305</v>
      </c>
      <c r="H2" s="1168"/>
      <c r="K2" s="1631"/>
      <c r="L2" s="1631"/>
      <c r="M2" s="1638">
        <v>0</v>
      </c>
    </row>
    <row s="1642" customFormat="1" customHeight="1" ht="14.25" hidden="1">
      <c r="A3" s="1369"/>
      <c r="B3" s="1167"/>
      <c r="C3" s="351"/>
      <c r="K3" s="1631"/>
      <c r="L3" s="1631"/>
      <c r="M3" s="1638">
        <v>0</v>
      </c>
    </row>
    <row s="1642" customFormat="1" customHeight="1" ht="18.75" hidden="1">
      <c r="A4" s="1689"/>
      <c r="B4" s="1167"/>
      <c r="C4" s="1736" t="s">
        <v>576</v>
      </c>
      <c r="D4" s="1679"/>
      <c r="E4" s="212" t="s">
        <v>1225</v>
      </c>
      <c r="F4" s="1676"/>
      <c r="G4" s="264"/>
      <c r="H4" s="1676" t="s">
        <v>305</v>
      </c>
      <c r="K4" s="1631"/>
      <c r="L4" s="1631"/>
      <c r="M4" s="1638">
        <v>0</v>
      </c>
    </row>
    <row s="1642" customFormat="1" customHeight="1" ht="14.25" hidden="1">
      <c r="A5" s="1369"/>
      <c r="B5" s="1167"/>
      <c r="C5" s="351"/>
      <c r="K5" s="1631"/>
      <c r="L5" s="1631"/>
      <c r="M5" s="1638">
        <v>0</v>
      </c>
    </row>
    <row s="1642" customFormat="1" customHeight="1" ht="18.75" hidden="1">
      <c r="A6" s="1689"/>
      <c r="B6" s="1167"/>
      <c r="C6" s="1736" t="s">
        <v>576</v>
      </c>
      <c r="D6" s="1679"/>
      <c r="E6" s="213" t="s">
        <v>1226</v>
      </c>
      <c r="F6" s="1676"/>
      <c r="G6" s="264"/>
      <c r="H6" s="1676" t="s">
        <v>305</v>
      </c>
      <c r="K6" s="1631"/>
      <c r="L6" s="1631"/>
      <c r="M6" s="1638">
        <v>0</v>
      </c>
    </row>
    <row s="1642" customFormat="1" customHeight="1" ht="14.25" hidden="1">
      <c r="A7" s="1369"/>
      <c r="B7" s="1167"/>
      <c r="C7" s="351"/>
      <c r="K7" s="1631"/>
      <c r="L7" s="1631"/>
      <c r="M7" s="1638">
        <v>0</v>
      </c>
    </row>
    <row s="1642" customFormat="1" customHeight="1" ht="18.75" hidden="1">
      <c r="A8" s="1689"/>
      <c r="B8" s="1167"/>
      <c r="C8" s="1736" t="s">
        <v>576</v>
      </c>
      <c r="D8" s="1679"/>
      <c r="E8" s="213" t="s">
        <v>1227</v>
      </c>
      <c r="F8" s="1676"/>
      <c r="G8" s="264"/>
      <c r="H8" s="1676" t="s">
        <v>305</v>
      </c>
      <c r="K8" s="1631"/>
      <c r="L8" s="1631"/>
      <c r="M8" s="1638">
        <v>0</v>
      </c>
    </row>
    <row s="1642" customFormat="1" customHeight="1" ht="14.25" hidden="1">
      <c r="A9" s="1369"/>
      <c r="B9" s="1167"/>
      <c r="C9" s="351"/>
      <c r="K9" s="1631"/>
      <c r="L9" s="1631"/>
      <c r="M9" s="1638">
        <v>0</v>
      </c>
    </row>
    <row s="1642" customFormat="1" customHeight="1" ht="18.75" hidden="1">
      <c r="A10" s="1689"/>
      <c r="B10" s="1167"/>
      <c r="C10" s="1736" t="s">
        <v>576</v>
      </c>
      <c r="D10" s="1679"/>
      <c r="E10" s="213" t="s">
        <v>1228</v>
      </c>
      <c r="F10" s="1676"/>
      <c r="G10" s="1680"/>
      <c r="H10" s="1676" t="s">
        <v>305</v>
      </c>
      <c r="K10" s="1631"/>
      <c r="L10" s="1631" t="s">
        <v>1229</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7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75"/>
      <c r="F14" s="2475"/>
      <c r="G14" s="2475"/>
      <c r="H14" s="2476"/>
      <c r="J14" s="1638"/>
      <c r="M14" s="90">
        <v>28</v>
      </c>
    </row>
    <row s="1642" customFormat="1" customHeight="1" ht="14.699999999999998">
      <c r="A15" s="1369"/>
      <c r="B15" s="1167"/>
      <c r="C15" s="383"/>
      <c r="D15" s="2477" t="str">
        <f>IF(org=0,"Не определено",org)</f>
        <v>ИМУП «ПОСЖИЛКОМСЕРВИС»</v>
      </c>
      <c r="E15" s="2478"/>
      <c r="F15" s="2478"/>
      <c r="G15" s="2478"/>
      <c r="H15" s="2479"/>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29" t="s">
        <v>299</v>
      </c>
      <c r="E18" s="2229"/>
      <c r="F18" s="2229"/>
      <c r="G18" s="2229"/>
      <c r="H18" s="2229"/>
      <c r="I18" s="2409" t="s">
        <v>300</v>
      </c>
      <c r="M18" s="90">
        <v>21</v>
      </c>
    </row>
    <row customHeight="1" ht="22.049999999999997">
      <c r="C19" s="103"/>
      <c r="D19" s="112" t="s">
        <v>87</v>
      </c>
      <c r="E19" s="115" t="s">
        <v>301</v>
      </c>
      <c r="F19" s="115"/>
      <c r="G19" s="115" t="s">
        <v>302</v>
      </c>
      <c r="H19" s="115" t="s">
        <v>389</v>
      </c>
      <c r="I19" s="2409"/>
      <c r="M19" s="90">
        <v>21</v>
      </c>
    </row>
    <row customHeight="1" ht="12" hidden="1">
      <c r="C20" s="103"/>
      <c r="D20" s="94"/>
      <c r="E20" s="94"/>
      <c r="F20" s="94"/>
      <c r="G20" s="94"/>
      <c r="H20" s="94"/>
      <c r="I20" s="94"/>
      <c r="M20" s="90">
        <v>0</v>
      </c>
    </row>
    <row customHeight="1" ht="14.699999999999998">
      <c r="A21" s="1689"/>
      <c r="C21" s="103"/>
      <c r="D21" s="154">
        <v>1</v>
      </c>
      <c r="E21" s="2481" t="s">
        <v>1230</v>
      </c>
      <c r="F21" s="2481"/>
      <c r="G21" s="2481"/>
      <c r="H21" s="2481"/>
      <c r="I21" s="215"/>
      <c r="M21" s="90">
        <v>14</v>
      </c>
    </row>
    <row customHeight="1" ht="21">
      <c r="A22" s="1689"/>
      <c r="C22" s="103"/>
      <c r="D22" s="154" t="s">
        <v>1114</v>
      </c>
      <c r="E22" s="201" t="s">
        <v>1231</v>
      </c>
      <c r="F22" s="205"/>
      <c r="G22" s="1743"/>
      <c r="H22" s="205" t="s">
        <v>305</v>
      </c>
      <c r="I22" s="158" t="s">
        <v>1232</v>
      </c>
      <c r="M22" s="90">
        <v>20</v>
      </c>
    </row>
    <row customHeight="1" ht="60">
      <c r="A23" s="1689"/>
      <c r="C23" s="103"/>
      <c r="D23" s="154" t="s">
        <v>1116</v>
      </c>
      <c r="E23" s="201" t="s">
        <v>1233</v>
      </c>
      <c r="F23" s="205"/>
      <c r="G23" s="264"/>
      <c r="H23" s="220"/>
      <c r="I23" s="265" t="s">
        <v>1234</v>
      </c>
      <c r="M23" s="90">
        <v>57</v>
      </c>
    </row>
    <row customHeight="1" ht="14.699999999999998">
      <c r="A24" s="1689"/>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5"/>
      <c r="G24" s="205" t="s">
        <v>305</v>
      </c>
      <c r="H24" s="220"/>
      <c r="I24" s="266" t="s">
        <v>660</v>
      </c>
      <c r="M24" s="90">
        <v>14</v>
      </c>
    </row>
    <row customHeight="1" ht="48.29999999999999">
      <c r="A25" s="1689"/>
      <c r="C25" s="103"/>
      <c r="D25" s="154">
        <v>3</v>
      </c>
      <c r="E25" s="24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0"/>
      <c r="G25" s="2480"/>
      <c r="H25" s="2480"/>
      <c r="I25" s="263"/>
      <c r="M25" s="90">
        <v>46</v>
      </c>
    </row>
    <row customHeight="1" ht="14.699999999999998">
      <c r="A26" s="1689"/>
      <c r="C26" s="103"/>
      <c r="D26" s="154" t="s">
        <v>323</v>
      </c>
      <c r="E26" s="206"/>
      <c r="F26" s="205"/>
      <c r="G26" s="205" t="s">
        <v>305</v>
      </c>
      <c r="H26" s="220"/>
      <c r="I26" s="2189" t="s">
        <v>1235</v>
      </c>
      <c r="M26" s="90">
        <v>14</v>
      </c>
    </row>
    <row customHeight="1" ht="15.75">
      <c r="A27" s="1689" t="s">
        <v>109</v>
      </c>
      <c r="C27" s="103"/>
      <c r="D27" s="116"/>
      <c r="E27" s="210" t="s">
        <v>321</v>
      </c>
      <c r="F27" s="211"/>
      <c r="G27" s="211"/>
      <c r="H27" s="208"/>
      <c r="I27" s="2191"/>
      <c r="M27" s="90">
        <v>15</v>
      </c>
    </row>
    <row customHeight="1" ht="39.75">
      <c r="A28" s="1689"/>
      <c r="B28" s="153">
        <v>3</v>
      </c>
      <c r="C28" s="103"/>
      <c r="D28" s="154">
        <v>4</v>
      </c>
      <c r="E28" s="24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80"/>
      <c r="G28" s="2480"/>
      <c r="H28" s="2480"/>
      <c r="I28" s="263"/>
      <c r="M28" s="90">
        <v>38</v>
      </c>
    </row>
    <row customHeight="1" ht="21">
      <c r="A29" s="1689"/>
      <c r="C29" s="103"/>
      <c r="D29" s="154" t="s">
        <v>788</v>
      </c>
      <c r="E29" s="212" t="s">
        <v>1225</v>
      </c>
      <c r="F29" s="205"/>
      <c r="G29" s="264"/>
      <c r="H29" s="205" t="s">
        <v>305</v>
      </c>
      <c r="I29" s="2189" t="s">
        <v>1236</v>
      </c>
      <c r="M29" s="90">
        <v>20</v>
      </c>
    </row>
    <row customHeight="1" ht="15.75">
      <c r="A30" s="1689" t="s">
        <v>110</v>
      </c>
      <c r="C30" s="103"/>
      <c r="D30" s="116"/>
      <c r="E30" s="210" t="s">
        <v>321</v>
      </c>
      <c r="F30" s="211"/>
      <c r="G30" s="211"/>
      <c r="H30" s="208"/>
      <c r="I30" s="2191"/>
      <c r="M30" s="90">
        <v>15</v>
      </c>
    </row>
    <row customHeight="1" ht="31.5">
      <c r="A31" s="1689"/>
      <c r="B31" s="153">
        <v>3</v>
      </c>
      <c r="C31" s="103"/>
      <c r="D31" s="154">
        <v>5</v>
      </c>
      <c r="E31" s="24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80"/>
      <c r="G31" s="2480"/>
      <c r="H31" s="2480"/>
      <c r="I31" s="263"/>
      <c r="M31" s="90">
        <v>30</v>
      </c>
    </row>
    <row customHeight="1" ht="27.299999999999997">
      <c r="A32" s="1689"/>
      <c r="C32" s="103"/>
      <c r="D32" s="154" t="s">
        <v>312</v>
      </c>
      <c r="E32" s="24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23"/>
      <c r="G32" s="2423"/>
      <c r="H32" s="2423"/>
      <c r="I32" s="263"/>
      <c r="M32" s="90">
        <v>26</v>
      </c>
    </row>
    <row customHeight="1" ht="14.699999999999998">
      <c r="A33" s="1689"/>
      <c r="C33" s="103"/>
      <c r="D33" s="154" t="s">
        <v>1237</v>
      </c>
      <c r="E33" s="213" t="s">
        <v>1226</v>
      </c>
      <c r="F33" s="205"/>
      <c r="G33" s="264"/>
      <c r="H33" s="205" t="s">
        <v>305</v>
      </c>
      <c r="I33" s="2189" t="s">
        <v>1238</v>
      </c>
      <c r="M33" s="90">
        <v>14</v>
      </c>
    </row>
    <row customHeight="1" ht="15.75">
      <c r="A34" s="1689" t="s">
        <v>89</v>
      </c>
      <c r="C34" s="103"/>
      <c r="D34" s="116"/>
      <c r="E34" s="211" t="s">
        <v>321</v>
      </c>
      <c r="F34" s="207"/>
      <c r="G34" s="207"/>
      <c r="H34" s="208"/>
      <c r="I34" s="2191"/>
      <c r="M34" s="90">
        <v>15</v>
      </c>
    </row>
    <row customHeight="1" ht="25.2">
      <c r="A35" s="1689"/>
      <c r="C35" s="103"/>
      <c r="D35" s="154" t="s">
        <v>928</v>
      </c>
      <c r="E35" s="24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23"/>
      <c r="G35" s="2423"/>
      <c r="H35" s="2423"/>
      <c r="I35" s="263"/>
      <c r="M35" s="90">
        <v>24</v>
      </c>
    </row>
    <row customHeight="1" ht="14.699999999999998">
      <c r="A36" s="1689"/>
      <c r="C36" s="103"/>
      <c r="D36" s="154" t="s">
        <v>1239</v>
      </c>
      <c r="E36" s="213" t="s">
        <v>1227</v>
      </c>
      <c r="F36" s="205"/>
      <c r="G36" s="264"/>
      <c r="H36" s="205" t="s">
        <v>305</v>
      </c>
      <c r="I36" s="2163" t="s">
        <v>1240</v>
      </c>
      <c r="M36" s="90">
        <v>14</v>
      </c>
    </row>
    <row customHeight="1" ht="15.75">
      <c r="A37" s="1689" t="s">
        <v>90</v>
      </c>
      <c r="C37" s="103"/>
      <c r="D37" s="116"/>
      <c r="E37" s="211" t="s">
        <v>321</v>
      </c>
      <c r="F37" s="207"/>
      <c r="G37" s="207"/>
      <c r="H37" s="208"/>
      <c r="I37" s="2163"/>
      <c r="M37" s="90">
        <v>15</v>
      </c>
    </row>
    <row customHeight="1" ht="27.299999999999997">
      <c r="A38" s="1689"/>
      <c r="C38" s="103"/>
      <c r="D38" s="154" t="s">
        <v>929</v>
      </c>
      <c r="E38" s="24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23"/>
      <c r="G38" s="2423"/>
      <c r="H38" s="2423"/>
      <c r="I38" s="263"/>
      <c r="M38" s="90">
        <v>26</v>
      </c>
    </row>
    <row customHeight="1" ht="14.699999999999998">
      <c r="A39" s="1689"/>
      <c r="C39" s="103"/>
      <c r="D39" s="154" t="s">
        <v>930</v>
      </c>
      <c r="E39" s="213" t="s">
        <v>1228</v>
      </c>
      <c r="F39" s="205"/>
      <c r="G39" s="214"/>
      <c r="H39" s="205" t="s">
        <v>305</v>
      </c>
      <c r="I39" s="2189" t="s">
        <v>1241</v>
      </c>
      <c r="L39" s="162" t="s">
        <v>1229</v>
      </c>
      <c r="M39" s="90">
        <v>14</v>
      </c>
    </row>
    <row customHeight="1" ht="15.75">
      <c r="A40" s="1689" t="s">
        <v>111</v>
      </c>
      <c r="C40" s="103"/>
      <c r="D40" s="116"/>
      <c r="E40" s="211" t="s">
        <v>321</v>
      </c>
      <c r="F40" s="207"/>
      <c r="G40" s="207"/>
      <c r="H40" s="208"/>
      <c r="I40" s="2191"/>
      <c r="M40" s="90">
        <v>15</v>
      </c>
    </row>
    <row s="1829" customFormat="1" customHeight="1" ht="3">
      <c r="A41" s="1689"/>
      <c r="K41" s="203"/>
      <c r="L41" s="203"/>
      <c r="M41" s="147">
        <v>3</v>
      </c>
    </row>
    <row customHeight="1" ht="26.25">
      <c r="D42" s="1687" t="s">
        <v>850</v>
      </c>
      <c r="E42" s="23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05"/>
      <c r="G42" s="2305"/>
      <c r="H42" s="2305"/>
      <c r="I42" s="2305"/>
      <c r="M42" s="90">
        <v>25</v>
      </c>
    </row>
    <row customHeight="1" ht="22.5" hidden="1">
      <c r="A43" s="1369" t="s">
        <v>81</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3C02D-097C-B202-AB4D-0.75BF7C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5"/>
      <c r="B1" s="1785"/>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6" t="s">
        <v>156</v>
      </c>
      <c r="B2" s="1786" t="s">
        <v>157</v>
      </c>
      <c r="C2" s="376"/>
      <c r="D2" s="351"/>
      <c r="E2" s="1038"/>
      <c r="F2" s="1038"/>
      <c r="G2" s="2447" t="str">
        <f>INDEX(PT_DIFFERENTIATION_NTAR,MATCH(B2,PT_DIFFERENTIATION_NTAR_ID,0))</f>
        <v/>
      </c>
      <c r="H2" s="1868"/>
      <c r="I2" s="1745"/>
      <c r="J2" s="1779"/>
      <c r="K2" s="1869"/>
      <c r="L2" s="1868" t="s">
        <v>305</v>
      </c>
      <c r="M2" s="1879"/>
      <c r="N2" s="341"/>
      <c r="O2" s="1631"/>
      <c r="P2" s="1631"/>
      <c r="AH2" s="1638">
        <v>0</v>
      </c>
    </row>
    <row s="1642" customFormat="1" customHeight="1" ht="18.75" hidden="1">
      <c r="A3" s="1786"/>
      <c r="B3" s="1786"/>
      <c r="C3" s="376" t="s">
        <v>1242</v>
      </c>
      <c r="D3" s="351"/>
      <c r="E3" s="1038"/>
      <c r="F3" s="1038"/>
      <c r="G3" s="2447"/>
      <c r="H3" s="1507"/>
      <c r="I3" s="658" t="s">
        <v>1243</v>
      </c>
      <c r="J3" s="578"/>
      <c r="K3" s="1507"/>
      <c r="L3" s="221"/>
      <c r="M3" s="1879"/>
      <c r="N3" s="341"/>
      <c r="O3" s="1631"/>
      <c r="P3" s="1631"/>
      <c r="AH3" s="1638">
        <v>0</v>
      </c>
    </row>
    <row s="1642" customFormat="1" customHeight="1" ht="14.25" hidden="1">
      <c r="A4" s="1785"/>
      <c r="B4" s="1785"/>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6" t="s">
        <v>156</v>
      </c>
      <c r="B5" s="1786" t="s">
        <v>157</v>
      </c>
      <c r="C5" s="376"/>
      <c r="D5" s="351"/>
      <c r="E5" s="1038"/>
      <c r="F5" s="1038"/>
      <c r="G5" s="2447" t="str">
        <f>INDEX(PT_DIFFERENTIATION_NTAR,MATCH(B5,PT_DIFFERENTIATION_NTAR_ID,0))</f>
        <v/>
      </c>
      <c r="H5" s="1868"/>
      <c r="I5" s="1745"/>
      <c r="J5" s="1779"/>
      <c r="K5" s="1784"/>
      <c r="L5" s="1868" t="s">
        <v>305</v>
      </c>
      <c r="M5" s="1879"/>
      <c r="N5" s="341"/>
      <c r="O5" s="1631"/>
      <c r="P5" s="1631"/>
      <c r="AH5" s="1638">
        <v>0</v>
      </c>
    </row>
    <row s="1642" customFormat="1" customHeight="1" ht="18.75" hidden="1">
      <c r="A6" s="1786"/>
      <c r="B6" s="1786"/>
      <c r="C6" s="376" t="s">
        <v>1244</v>
      </c>
      <c r="D6" s="351"/>
      <c r="E6" s="1038"/>
      <c r="F6" s="1038"/>
      <c r="G6" s="2447"/>
      <c r="H6" s="1507"/>
      <c r="I6" s="658" t="s">
        <v>1243</v>
      </c>
      <c r="J6" s="578"/>
      <c r="K6" s="1507"/>
      <c r="L6" s="221"/>
      <c r="M6" s="1879"/>
      <c r="N6" s="341"/>
      <c r="O6" s="1631"/>
      <c r="P6" s="1631"/>
      <c r="AH6" s="1638">
        <v>0</v>
      </c>
    </row>
    <row s="1642" customFormat="1" customHeight="1" ht="14.25" hidden="1">
      <c r="A7" s="1785"/>
      <c r="B7" s="1785"/>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6"/>
      <c r="B8" s="1786"/>
      <c r="C8" s="376"/>
      <c r="D8" s="351"/>
      <c r="E8" s="1038"/>
      <c r="F8" s="1038"/>
      <c r="G8" s="1038"/>
      <c r="H8" s="1777"/>
      <c r="I8" s="1745"/>
      <c r="J8" s="1779"/>
      <c r="K8" s="1869"/>
      <c r="L8" s="1777" t="s">
        <v>305</v>
      </c>
      <c r="M8" s="1879"/>
      <c r="N8" s="341"/>
      <c r="O8" s="1631"/>
      <c r="P8" s="1631"/>
      <c r="AH8" s="1638">
        <v>0</v>
      </c>
    </row>
    <row customHeight="1" ht="14.25" hidden="1">
      <c r="T9" s="404"/>
      <c r="AG9" s="262"/>
      <c r="AH9" s="381">
        <v>0</v>
      </c>
    </row>
    <row s="1642" customFormat="1" customHeight="1" ht="56.25" hidden="1">
      <c r="A10" s="1786"/>
      <c r="B10" s="1786"/>
      <c r="C10" s="376"/>
      <c r="D10" s="351"/>
      <c r="E10" s="1038"/>
      <c r="F10" s="1038"/>
      <c r="G10" s="1038"/>
      <c r="H10" s="1776"/>
      <c r="I10" s="1745"/>
      <c r="J10" s="1779"/>
      <c r="K10" s="1784"/>
      <c r="L10" s="1777" t="s">
        <v>305</v>
      </c>
      <c r="M10" s="1879"/>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85"/>
      <c r="G14" s="2485"/>
      <c r="H14" s="2485"/>
      <c r="I14" s="2485"/>
      <c r="J14" s="2485"/>
      <c r="K14" s="2485"/>
      <c r="L14" s="2485"/>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84" t="str">
        <f>IF(TITLE_DATE_PR_CHANGE="",IF(TITLE_DATE_PR="","",TITLE_DATE_PR),TITLE_DATE_PR_CHANGE)</f>
        <v/>
      </c>
      <c r="H16" s="2284"/>
      <c r="I16" s="2284"/>
      <c r="J16" s="2284"/>
      <c r="K16" s="2284"/>
      <c r="L16" s="2284"/>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71" t="str">
        <f>IF(TITLE_NUMBER_PR_CHANGE="",IF(TITLE_NUMBER_PR="","",TITLE_NUMBER_PR),TITLE_NUMBER_PR_CHANGE)</f>
        <v/>
      </c>
      <c r="H17" s="2271"/>
      <c r="I17" s="2271"/>
      <c r="J17" s="2271"/>
      <c r="K17" s="2271"/>
      <c r="L17" s="2271"/>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29" t="s">
        <v>299</v>
      </c>
      <c r="F19" s="2229"/>
      <c r="G19" s="2229"/>
      <c r="H19" s="2229"/>
      <c r="I19" s="2229"/>
      <c r="J19" s="2229"/>
      <c r="K19" s="2229"/>
      <c r="L19" s="2229"/>
      <c r="M19" s="2409" t="s">
        <v>300</v>
      </c>
      <c r="AH19" s="381">
        <v>21</v>
      </c>
    </row>
    <row customHeight="1" ht="22.049999999999997">
      <c r="D20" s="383"/>
      <c r="E20" s="2297" t="s">
        <v>87</v>
      </c>
      <c r="F20" s="2244" t="s">
        <v>123</v>
      </c>
      <c r="G20" s="2244" t="s">
        <v>124</v>
      </c>
      <c r="H20" s="2406" t="s">
        <v>1245</v>
      </c>
      <c r="I20" s="2407"/>
      <c r="J20" s="2453"/>
      <c r="K20" s="2244" t="s">
        <v>302</v>
      </c>
      <c r="L20" s="2244" t="s">
        <v>389</v>
      </c>
      <c r="M20" s="2409"/>
      <c r="AH20" s="381">
        <v>21</v>
      </c>
    </row>
    <row customHeight="1" ht="22.049999999999997">
      <c r="D21" s="383"/>
      <c r="E21" s="2299"/>
      <c r="F21" s="2245"/>
      <c r="G21" s="2245"/>
      <c r="H21" s="2238" t="s">
        <v>1246</v>
      </c>
      <c r="I21" s="2240"/>
      <c r="J21" s="115" t="s">
        <v>1247</v>
      </c>
      <c r="K21" s="2245"/>
      <c r="L21" s="2245"/>
      <c r="M21" s="2409"/>
      <c r="AH21" s="381">
        <v>21</v>
      </c>
    </row>
    <row customHeight="1" ht="12.75">
      <c r="D22" s="383"/>
      <c r="E22" s="288"/>
      <c r="F22" s="288"/>
      <c r="G22" s="288"/>
      <c r="H22" s="2487"/>
      <c r="I22" s="2487"/>
      <c r="J22" s="288"/>
      <c r="K22" s="288"/>
      <c r="L22" s="288"/>
      <c r="M22" s="288"/>
      <c r="AH22" s="381">
        <v>12</v>
      </c>
    </row>
    <row customHeight="1" ht="19.95">
      <c r="A23" s="1786"/>
      <c r="B23" s="1786"/>
      <c r="D23" s="383"/>
      <c r="E23" s="1870" t="s">
        <v>109</v>
      </c>
      <c r="F23" s="2488" t="str">
        <f>"Предлагаемый метод регулирования"&amp;IF(TEMPLATE_SPHERE="HEAT"," в сфере "&amp;TEMPLATE_SPHERE_RUS,"")</f>
        <v>Предлагаемый метод регулирования</v>
      </c>
      <c r="G23" s="2489"/>
      <c r="H23" s="2481"/>
      <c r="I23" s="2481"/>
      <c r="J23" s="2481"/>
      <c r="K23" s="2489" t="s">
        <v>305</v>
      </c>
      <c r="L23" s="2481"/>
      <c r="M23" s="1775"/>
      <c r="N23" s="341"/>
      <c r="AH23" s="381">
        <v>19</v>
      </c>
    </row>
    <row customHeight="1" ht="60.75" hidden="1">
      <c r="A24" s="1786" t="s">
        <v>156</v>
      </c>
      <c r="B24" s="1786" t="s">
        <v>157</v>
      </c>
      <c r="D24" s="2486"/>
      <c r="E24" s="2224"/>
      <c r="F24" s="24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7" t="str">
        <f>INDEX(PT_DIFFERENTIATION_NTAR,MATCH(B24,PT_DIFFERENTIATION_NTAR_ID,0))</f>
        <v/>
      </c>
      <c r="H24" s="1866"/>
      <c r="I24" s="1745"/>
      <c r="J24" s="1779"/>
      <c r="K24" s="1869"/>
      <c r="L24" s="1774" t="s">
        <v>305</v>
      </c>
      <c r="M24"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6"/>
      <c r="B25" s="1786"/>
      <c r="C25" s="376" t="s">
        <v>1242</v>
      </c>
      <c r="D25" s="2486"/>
      <c r="E25" s="2224"/>
      <c r="F25" s="2490"/>
      <c r="G25" s="2447"/>
      <c r="H25" s="1507"/>
      <c r="I25" s="658" t="s">
        <v>1243</v>
      </c>
      <c r="J25" s="578"/>
      <c r="K25" s="1507"/>
      <c r="L25" s="221"/>
      <c r="M25" s="2190"/>
      <c r="N25" s="341"/>
      <c r="O25" s="1631"/>
      <c r="P25" s="1631"/>
      <c r="AH25" s="1638">
        <v>0</v>
      </c>
    </row>
    <row customHeight="1" ht="0.75" hidden="1">
      <c r="A26" s="1786"/>
      <c r="B26" s="1786"/>
      <c r="C26" s="376" t="s">
        <v>1248</v>
      </c>
      <c r="D26" s="2486"/>
      <c r="E26" s="2224"/>
      <c r="F26" s="2403"/>
      <c r="G26" s="407"/>
      <c r="H26" s="1507"/>
      <c r="I26" s="402"/>
      <c r="J26" s="356"/>
      <c r="K26" s="1507"/>
      <c r="L26" s="208"/>
      <c r="M26" s="2190"/>
      <c r="N26" s="341"/>
      <c r="AH26" s="381">
        <v>0</v>
      </c>
    </row>
    <row s="1642" customFormat="1" customHeight="1" ht="45" hidden="1">
      <c r="A27" s="1786" t="s">
        <v>161</v>
      </c>
      <c r="B27" s="1786" t="s">
        <v>162</v>
      </c>
      <c r="C27" s="376"/>
      <c r="D27" s="2482"/>
      <c r="E27" s="2483"/>
      <c r="F27" s="2484" t="str">
        <f>INDEX(PT_DIFFERENTIATION_VTAR,MATCH(A27,PT_DIFFERENTIATION_VTAR_ID,0))</f>
        <v/>
      </c>
      <c r="G27" s="2447" t="str">
        <f>INDEX(PT_DIFFERENTIATION_NTAR,MATCH(B27,PT_DIFFERENTIATION_NTAR_ID,0))</f>
        <v/>
      </c>
      <c r="H27" s="1866"/>
      <c r="I27" s="1745"/>
      <c r="J27" s="1779"/>
      <c r="K27" s="1869"/>
      <c r="L27" s="1866" t="s">
        <v>305</v>
      </c>
      <c r="M27" s="2190"/>
      <c r="N27" s="341"/>
      <c r="O27" s="1631"/>
      <c r="P27" s="1631"/>
      <c r="AH27" s="1638">
        <v>0</v>
      </c>
    </row>
    <row s="1642" customFormat="1" customHeight="1" ht="18.75" hidden="1">
      <c r="A28" s="1786"/>
      <c r="B28" s="1786"/>
      <c r="C28" s="376" t="s">
        <v>1242</v>
      </c>
      <c r="D28" s="2482"/>
      <c r="E28" s="2483"/>
      <c r="F28" s="2484"/>
      <c r="G28" s="2447"/>
      <c r="H28" s="1507"/>
      <c r="I28" s="658" t="s">
        <v>1243</v>
      </c>
      <c r="J28" s="578"/>
      <c r="K28" s="1507"/>
      <c r="L28" s="221"/>
      <c r="M28" s="2190"/>
      <c r="N28" s="341"/>
      <c r="O28" s="1631"/>
      <c r="P28" s="1631"/>
      <c r="AH28" s="1638">
        <v>0</v>
      </c>
    </row>
    <row s="1642" customFormat="1" customHeight="1" ht="0.75" hidden="1">
      <c r="A29" s="1786"/>
      <c r="B29" s="1786"/>
      <c r="C29" s="376" t="s">
        <v>1248</v>
      </c>
      <c r="D29" s="2482"/>
      <c r="E29" s="2224"/>
      <c r="F29" s="2403"/>
      <c r="G29" s="407"/>
      <c r="H29" s="1507"/>
      <c r="I29" s="658"/>
      <c r="J29" s="578"/>
      <c r="K29" s="1507"/>
      <c r="L29" s="221"/>
      <c r="M29" s="2190"/>
      <c r="N29" s="341"/>
      <c r="O29" s="1631"/>
      <c r="P29" s="1631"/>
      <c r="AH29" s="1638">
        <v>0</v>
      </c>
    </row>
    <row s="1642" customFormat="1" customHeight="1" ht="45" hidden="1">
      <c r="A30" s="1786" t="s">
        <v>168</v>
      </c>
      <c r="B30" s="1786" t="s">
        <v>169</v>
      </c>
      <c r="C30" s="376"/>
      <c r="D30" s="2482"/>
      <c r="E30" s="2224"/>
      <c r="F30" s="24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7" t="str">
        <f>INDEX(PT_DIFFERENTIATION_NTAR,MATCH(B30,PT_DIFFERENTIATION_NTAR_ID,0))</f>
        <v/>
      </c>
      <c r="H30" s="1866"/>
      <c r="I30" s="1745"/>
      <c r="J30" s="1779"/>
      <c r="K30" s="1869"/>
      <c r="L30" s="1866" t="s">
        <v>305</v>
      </c>
      <c r="M30" s="2190"/>
      <c r="N30" s="341"/>
      <c r="O30" s="1631"/>
      <c r="P30" s="1631"/>
      <c r="AH30" s="1638">
        <v>0</v>
      </c>
    </row>
    <row s="1642" customFormat="1" customHeight="1" ht="18.75" hidden="1">
      <c r="A31" s="1786"/>
      <c r="B31" s="1786"/>
      <c r="C31" s="376" t="s">
        <v>1242</v>
      </c>
      <c r="D31" s="2482"/>
      <c r="E31" s="2224"/>
      <c r="F31" s="2403"/>
      <c r="G31" s="2447"/>
      <c r="H31" s="1507"/>
      <c r="I31" s="658" t="s">
        <v>1243</v>
      </c>
      <c r="J31" s="578"/>
      <c r="K31" s="1507"/>
      <c r="L31" s="221"/>
      <c r="M31" s="2190"/>
      <c r="N31" s="341"/>
      <c r="O31" s="1631"/>
      <c r="P31" s="1631"/>
      <c r="AH31" s="1638">
        <v>0</v>
      </c>
    </row>
    <row s="1642" customFormat="1" customHeight="1" ht="0.75" hidden="1">
      <c r="A32" s="1786"/>
      <c r="B32" s="1786"/>
      <c r="C32" s="376" t="s">
        <v>1248</v>
      </c>
      <c r="D32" s="2482"/>
      <c r="E32" s="2224"/>
      <c r="F32" s="2403"/>
      <c r="G32" s="407"/>
      <c r="H32" s="1507"/>
      <c r="I32" s="658"/>
      <c r="J32" s="578"/>
      <c r="K32" s="1507"/>
      <c r="L32" s="221"/>
      <c r="M32" s="2190"/>
      <c r="N32" s="341"/>
      <c r="O32" s="1631"/>
      <c r="P32" s="1631"/>
      <c r="AH32" s="1638">
        <v>0</v>
      </c>
    </row>
    <row s="1642" customFormat="1" customHeight="1" ht="45" hidden="1">
      <c r="A33" s="1786" t="s">
        <v>174</v>
      </c>
      <c r="B33" s="1786" t="s">
        <v>175</v>
      </c>
      <c r="C33" s="376"/>
      <c r="D33" s="2482"/>
      <c r="E33" s="2224"/>
      <c r="F33" s="24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7" t="str">
        <f>INDEX(PT_DIFFERENTIATION_NTAR,MATCH(B33,PT_DIFFERENTIATION_NTAR_ID,0))</f>
        <v/>
      </c>
      <c r="H33" s="1866"/>
      <c r="I33" s="1745"/>
      <c r="J33" s="1779"/>
      <c r="K33" s="1869"/>
      <c r="L33" s="1866" t="s">
        <v>305</v>
      </c>
      <c r="M33" s="2190"/>
      <c r="N33" s="341"/>
      <c r="O33" s="1631"/>
      <c r="P33" s="1631"/>
      <c r="AH33" s="1638">
        <v>0</v>
      </c>
    </row>
    <row s="1642" customFormat="1" customHeight="1" ht="18.75" hidden="1">
      <c r="A34" s="1786"/>
      <c r="B34" s="1786"/>
      <c r="C34" s="376" t="s">
        <v>1242</v>
      </c>
      <c r="D34" s="2482"/>
      <c r="E34" s="2224"/>
      <c r="F34" s="2403"/>
      <c r="G34" s="2447"/>
      <c r="H34" s="1507"/>
      <c r="I34" s="658" t="s">
        <v>1243</v>
      </c>
      <c r="J34" s="578"/>
      <c r="K34" s="1507"/>
      <c r="L34" s="221"/>
      <c r="M34" s="2190"/>
      <c r="N34" s="341"/>
      <c r="O34" s="1631"/>
      <c r="P34" s="1631"/>
      <c r="AH34" s="1638">
        <v>0</v>
      </c>
    </row>
    <row s="1642" customFormat="1" customHeight="1" ht="0.75" hidden="1">
      <c r="A35" s="1786"/>
      <c r="B35" s="1786"/>
      <c r="C35" s="376" t="s">
        <v>1248</v>
      </c>
      <c r="D35" s="2482"/>
      <c r="E35" s="2224"/>
      <c r="F35" s="2403"/>
      <c r="G35" s="407"/>
      <c r="H35" s="1507"/>
      <c r="I35" s="658"/>
      <c r="J35" s="578"/>
      <c r="K35" s="1507"/>
      <c r="L35" s="221"/>
      <c r="M35" s="2190"/>
      <c r="N35" s="341"/>
      <c r="O35" s="1631"/>
      <c r="P35" s="1631"/>
      <c r="AH35" s="1638">
        <v>0</v>
      </c>
    </row>
    <row s="1642" customFormat="1" customHeight="1" ht="18.75" hidden="1">
      <c r="A36" s="1786" t="s">
        <v>180</v>
      </c>
      <c r="B36" s="1786" t="s">
        <v>181</v>
      </c>
      <c r="C36" s="376"/>
      <c r="D36" s="2482"/>
      <c r="E36" s="2224"/>
      <c r="F36" s="2403" t="str">
        <f>INDEX(PT_DIFFERENTIATION_VTAR,MATCH(A36,PT_DIFFERENTIATION_VTAR_ID,0))</f>
        <v>Тарифы на услуги по передаче тепловой энергии</v>
      </c>
      <c r="G36" s="2447" t="str">
        <f>INDEX(PT_DIFFERENTIATION_NTAR,MATCH(B36,PT_DIFFERENTIATION_NTAR_ID,0))</f>
        <v/>
      </c>
      <c r="H36" s="1866"/>
      <c r="I36" s="1745"/>
      <c r="J36" s="1779"/>
      <c r="K36" s="1869"/>
      <c r="L36" s="1866" t="s">
        <v>305</v>
      </c>
      <c r="M36" s="2190"/>
      <c r="N36" s="341"/>
      <c r="O36" s="1631"/>
      <c r="P36" s="1631"/>
      <c r="AH36" s="1638">
        <v>0</v>
      </c>
    </row>
    <row s="1642" customFormat="1" customHeight="1" ht="18.75" hidden="1">
      <c r="A37" s="1786"/>
      <c r="B37" s="1786"/>
      <c r="C37" s="376" t="s">
        <v>1242</v>
      </c>
      <c r="D37" s="2482"/>
      <c r="E37" s="2224"/>
      <c r="F37" s="2403"/>
      <c r="G37" s="2447"/>
      <c r="H37" s="1507"/>
      <c r="I37" s="658" t="s">
        <v>1243</v>
      </c>
      <c r="J37" s="578"/>
      <c r="K37" s="1507"/>
      <c r="L37" s="221"/>
      <c r="M37" s="2190"/>
      <c r="N37" s="341"/>
      <c r="O37" s="1631"/>
      <c r="P37" s="1631"/>
      <c r="AH37" s="1638">
        <v>0</v>
      </c>
    </row>
    <row s="1642" customFormat="1" customHeight="1" ht="0.75" hidden="1">
      <c r="A38" s="1786"/>
      <c r="B38" s="1786"/>
      <c r="C38" s="376" t="s">
        <v>1248</v>
      </c>
      <c r="D38" s="2482"/>
      <c r="E38" s="2224"/>
      <c r="F38" s="2403"/>
      <c r="G38" s="407"/>
      <c r="H38" s="1507"/>
      <c r="I38" s="658"/>
      <c r="J38" s="578"/>
      <c r="K38" s="1507"/>
      <c r="L38" s="221"/>
      <c r="M38" s="2190"/>
      <c r="N38" s="341"/>
      <c r="O38" s="1631"/>
      <c r="P38" s="1631"/>
      <c r="AH38" s="1638">
        <v>0</v>
      </c>
    </row>
    <row s="1642" customFormat="1" customHeight="1" ht="18.75" hidden="1">
      <c r="A39" s="1786" t="s">
        <v>186</v>
      </c>
      <c r="B39" s="1786" t="s">
        <v>187</v>
      </c>
      <c r="C39" s="376"/>
      <c r="D39" s="2482"/>
      <c r="E39" s="2224"/>
      <c r="F39" s="2403" t="str">
        <f>INDEX(PT_DIFFERENTIATION_VTAR,MATCH(A39,PT_DIFFERENTIATION_VTAR_ID,0))</f>
        <v>Тарифы на услуги по передаче теплоносителя</v>
      </c>
      <c r="G39" s="2447" t="str">
        <f>INDEX(PT_DIFFERENTIATION_NTAR,MATCH(B39,PT_DIFFERENTIATION_NTAR_ID,0))</f>
        <v/>
      </c>
      <c r="H39" s="1866"/>
      <c r="I39" s="1745"/>
      <c r="J39" s="1779"/>
      <c r="K39" s="1869"/>
      <c r="L39" s="1866" t="s">
        <v>305</v>
      </c>
      <c r="M39" s="2190"/>
      <c r="N39" s="341"/>
      <c r="O39" s="1631"/>
      <c r="P39" s="1631"/>
      <c r="AH39" s="1638">
        <v>0</v>
      </c>
    </row>
    <row s="1642" customFormat="1" customHeight="1" ht="18.75" hidden="1">
      <c r="A40" s="1786"/>
      <c r="B40" s="1786"/>
      <c r="C40" s="376" t="s">
        <v>1242</v>
      </c>
      <c r="D40" s="2482"/>
      <c r="E40" s="2224"/>
      <c r="F40" s="2403"/>
      <c r="G40" s="2447"/>
      <c r="H40" s="1507"/>
      <c r="I40" s="658" t="s">
        <v>1243</v>
      </c>
      <c r="J40" s="578"/>
      <c r="K40" s="1507"/>
      <c r="L40" s="221"/>
      <c r="M40" s="2190"/>
      <c r="N40" s="341"/>
      <c r="O40" s="1631"/>
      <c r="P40" s="1631"/>
      <c r="AH40" s="1638">
        <v>0</v>
      </c>
    </row>
    <row s="1642" customFormat="1" customHeight="1" ht="0.75" hidden="1">
      <c r="A41" s="1786"/>
      <c r="B41" s="1786"/>
      <c r="C41" s="376" t="s">
        <v>1248</v>
      </c>
      <c r="D41" s="2482"/>
      <c r="E41" s="2224"/>
      <c r="F41" s="2403"/>
      <c r="G41" s="407"/>
      <c r="H41" s="1507"/>
      <c r="I41" s="658"/>
      <c r="J41" s="578"/>
      <c r="K41" s="1507"/>
      <c r="L41" s="221"/>
      <c r="M41" s="2190"/>
      <c r="N41" s="341"/>
      <c r="O41" s="1631"/>
      <c r="P41" s="1631"/>
      <c r="AH41" s="1638">
        <v>0</v>
      </c>
    </row>
    <row s="1642" customFormat="1" customHeight="1" ht="18.75" hidden="1">
      <c r="A42" s="1786" t="s">
        <v>192</v>
      </c>
      <c r="B42" s="1786" t="s">
        <v>193</v>
      </c>
      <c r="C42" s="376"/>
      <c r="D42" s="2482"/>
      <c r="E42" s="2224"/>
      <c r="F42" s="24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7" t="str">
        <f>INDEX(PT_DIFFERENTIATION_NTAR,MATCH(B42,PT_DIFFERENTIATION_NTAR_ID,0))</f>
        <v/>
      </c>
      <c r="H42" s="1866"/>
      <c r="I42" s="1745"/>
      <c r="J42" s="1779"/>
      <c r="K42" s="1869"/>
      <c r="L42" s="1866" t="s">
        <v>305</v>
      </c>
      <c r="M42" s="2190"/>
      <c r="N42" s="341"/>
      <c r="O42" s="1631"/>
      <c r="P42" s="1631"/>
      <c r="AH42" s="1638">
        <v>0</v>
      </c>
    </row>
    <row s="1642" customFormat="1" customHeight="1" ht="18.75" hidden="1">
      <c r="A43" s="1786"/>
      <c r="B43" s="1786"/>
      <c r="C43" s="376" t="s">
        <v>1242</v>
      </c>
      <c r="D43" s="2482"/>
      <c r="E43" s="2224"/>
      <c r="F43" s="2403"/>
      <c r="G43" s="2447"/>
      <c r="H43" s="1507"/>
      <c r="I43" s="658" t="s">
        <v>1243</v>
      </c>
      <c r="J43" s="578"/>
      <c r="K43" s="1507"/>
      <c r="L43" s="221"/>
      <c r="M43" s="2190"/>
      <c r="N43" s="341"/>
      <c r="O43" s="1631"/>
      <c r="P43" s="1631"/>
      <c r="AH43" s="1638">
        <v>0</v>
      </c>
    </row>
    <row s="1642" customFormat="1" customHeight="1" ht="0.75" hidden="1">
      <c r="A44" s="1786"/>
      <c r="B44" s="1786"/>
      <c r="C44" s="376" t="s">
        <v>1248</v>
      </c>
      <c r="D44" s="2482"/>
      <c r="E44" s="2224"/>
      <c r="F44" s="2403"/>
      <c r="G44" s="407"/>
      <c r="H44" s="1507"/>
      <c r="I44" s="658"/>
      <c r="J44" s="578"/>
      <c r="K44" s="1507"/>
      <c r="L44" s="221"/>
      <c r="M44" s="2190"/>
      <c r="N44" s="341"/>
      <c r="O44" s="1631"/>
      <c r="P44" s="1631"/>
      <c r="AH44" s="1638">
        <v>0</v>
      </c>
    </row>
    <row s="1642" customFormat="1" customHeight="1" ht="18.75" hidden="1">
      <c r="A45" s="1786" t="s">
        <v>198</v>
      </c>
      <c r="B45" s="1786" t="s">
        <v>199</v>
      </c>
      <c r="C45" s="376"/>
      <c r="D45" s="2482"/>
      <c r="E45" s="2224"/>
      <c r="F45" s="2403" t="str">
        <f>INDEX(PT_DIFFERENTIATION_VTAR,MATCH(A45,PT_DIFFERENTIATION_VTAR_ID,0))</f>
        <v>Плата за подключение (технологическое присоединение) к системе теплоснабжения</v>
      </c>
      <c r="G45" s="2447" t="str">
        <f>INDEX(PT_DIFFERENTIATION_NTAR,MATCH(B45,PT_DIFFERENTIATION_NTAR_ID,0))</f>
        <v/>
      </c>
      <c r="H45" s="1866"/>
      <c r="I45" s="1745"/>
      <c r="J45" s="1779"/>
      <c r="K45" s="1869"/>
      <c r="L45" s="1866" t="s">
        <v>305</v>
      </c>
      <c r="M45" s="2190"/>
      <c r="N45" s="341"/>
      <c r="O45" s="1631"/>
      <c r="P45" s="1631"/>
      <c r="AH45" s="1638">
        <v>0</v>
      </c>
    </row>
    <row s="1642" customFormat="1" customHeight="1" ht="18.75" hidden="1">
      <c r="A46" s="1786"/>
      <c r="B46" s="1786"/>
      <c r="C46" s="376" t="s">
        <v>1242</v>
      </c>
      <c r="D46" s="2482"/>
      <c r="E46" s="2224"/>
      <c r="F46" s="2403"/>
      <c r="G46" s="2447"/>
      <c r="H46" s="1507"/>
      <c r="I46" s="658" t="s">
        <v>1243</v>
      </c>
      <c r="J46" s="578"/>
      <c r="K46" s="1507"/>
      <c r="L46" s="221"/>
      <c r="M46" s="2190"/>
      <c r="N46" s="341"/>
      <c r="O46" s="1631"/>
      <c r="P46" s="1631"/>
      <c r="AH46" s="1638">
        <v>0</v>
      </c>
    </row>
    <row s="1642" customFormat="1" customHeight="1" ht="0.75" hidden="1">
      <c r="A47" s="1786"/>
      <c r="B47" s="1786"/>
      <c r="C47" s="376" t="s">
        <v>1248</v>
      </c>
      <c r="D47" s="2482"/>
      <c r="E47" s="2224"/>
      <c r="F47" s="2403"/>
      <c r="G47" s="407"/>
      <c r="H47" s="1507"/>
      <c r="I47" s="658"/>
      <c r="J47" s="578"/>
      <c r="K47" s="1507"/>
      <c r="L47" s="221"/>
      <c r="M47" s="2190"/>
      <c r="N47" s="341"/>
      <c r="O47" s="1631"/>
      <c r="P47" s="1631"/>
      <c r="AH47" s="1638">
        <v>0</v>
      </c>
    </row>
    <row s="1642" customFormat="1" customHeight="1" ht="18.75" hidden="1">
      <c r="A48" s="1786" t="s">
        <v>204</v>
      </c>
      <c r="B48" s="1786" t="s">
        <v>205</v>
      </c>
      <c r="C48" s="376"/>
      <c r="D48" s="2482"/>
      <c r="E48" s="2224"/>
      <c r="F48" s="2403" t="str">
        <f>INDEX(PT_DIFFERENTIATION_VTAR,MATCH(A48,PT_DIFFERENTIATION_VTAR_ID,0))</f>
        <v>Плата за подключение (технологическое присоединение) к системе теплоснабжения (индивидуальная)</v>
      </c>
      <c r="G48" s="2447" t="str">
        <f>INDEX(PT_DIFFERENTIATION_NTAR,MATCH(B48,PT_DIFFERENTIATION_NTAR_ID,0))</f>
        <v/>
      </c>
      <c r="H48" s="1993"/>
      <c r="I48" s="1745"/>
      <c r="J48" s="1779"/>
      <c r="K48" s="1869"/>
      <c r="L48" s="1993" t="s">
        <v>305</v>
      </c>
      <c r="M48" s="2190"/>
      <c r="N48" s="341"/>
      <c r="O48" s="1631"/>
      <c r="P48" s="1631"/>
      <c r="AH48" s="1638">
        <v>0</v>
      </c>
    </row>
    <row s="1642" customFormat="1" customHeight="1" ht="18.75" hidden="1">
      <c r="A49" s="1786"/>
      <c r="B49" s="1786"/>
      <c r="C49" s="376" t="s">
        <v>1242</v>
      </c>
      <c r="D49" s="2482"/>
      <c r="E49" s="2224"/>
      <c r="F49" s="2403"/>
      <c r="G49" s="2447"/>
      <c r="H49" s="1507"/>
      <c r="I49" s="658" t="s">
        <v>1243</v>
      </c>
      <c r="J49" s="578"/>
      <c r="K49" s="1507"/>
      <c r="L49" s="221"/>
      <c r="M49" s="2190"/>
      <c r="N49" s="341"/>
      <c r="O49" s="1631"/>
      <c r="P49" s="1631"/>
      <c r="AH49" s="1638">
        <v>0</v>
      </c>
    </row>
    <row s="1642" customFormat="1" customHeight="1" ht="0.75" hidden="1">
      <c r="A50" s="1786"/>
      <c r="B50" s="1786"/>
      <c r="C50" s="376" t="s">
        <v>1248</v>
      </c>
      <c r="D50" s="2482"/>
      <c r="E50" s="2224"/>
      <c r="F50" s="2403"/>
      <c r="G50" s="407"/>
      <c r="H50" s="1507"/>
      <c r="I50" s="658"/>
      <c r="J50" s="578"/>
      <c r="K50" s="1507"/>
      <c r="L50" s="221"/>
      <c r="M50" s="2190"/>
      <c r="N50" s="341"/>
      <c r="O50" s="1631"/>
      <c r="P50" s="1631"/>
      <c r="AH50" s="1638">
        <v>0</v>
      </c>
    </row>
    <row s="1642" customFormat="1" customHeight="1" ht="18.75" hidden="1">
      <c r="A51" s="1786" t="s">
        <v>224</v>
      </c>
      <c r="B51" s="1786" t="s">
        <v>225</v>
      </c>
      <c r="C51" s="376"/>
      <c r="D51" s="2482"/>
      <c r="E51" s="2224"/>
      <c r="F51" s="2403" t="str">
        <f>INDEX(PT_DIFFERENTIATION_VTAR,MATCH(A51,PT_DIFFERENTIATION_VTAR_ID,0))</f>
        <v>Тариф на питьевую воду (питьевое водоснабжение)</v>
      </c>
      <c r="G51" s="2447" t="str">
        <f>INDEX(PT_DIFFERENTIATION_NTAR,MATCH(B51,PT_DIFFERENTIATION_NTAR_ID,0))</f>
        <v/>
      </c>
      <c r="H51" s="1866"/>
      <c r="I51" s="1745"/>
      <c r="J51" s="1779"/>
      <c r="K51" s="1869"/>
      <c r="L51" s="1866" t="s">
        <v>305</v>
      </c>
      <c r="M51" s="2190"/>
      <c r="N51" s="341"/>
      <c r="O51" s="1631"/>
      <c r="P51" s="1631"/>
      <c r="AH51" s="1638">
        <v>0</v>
      </c>
    </row>
    <row s="1642" customFormat="1" customHeight="1" ht="18.75" hidden="1">
      <c r="A52" s="1786"/>
      <c r="B52" s="1786"/>
      <c r="C52" s="376" t="s">
        <v>1242</v>
      </c>
      <c r="D52" s="2482"/>
      <c r="E52" s="2224"/>
      <c r="F52" s="2403"/>
      <c r="G52" s="2447"/>
      <c r="H52" s="1507"/>
      <c r="I52" s="658" t="s">
        <v>1243</v>
      </c>
      <c r="J52" s="578"/>
      <c r="K52" s="1507"/>
      <c r="L52" s="221"/>
      <c r="M52" s="2190"/>
      <c r="N52" s="341"/>
      <c r="O52" s="1631"/>
      <c r="P52" s="1631"/>
      <c r="AH52" s="1638">
        <v>0</v>
      </c>
    </row>
    <row s="1642" customFormat="1" customHeight="1" ht="0.75" hidden="1">
      <c r="A53" s="1786"/>
      <c r="B53" s="1786"/>
      <c r="C53" s="376" t="s">
        <v>1248</v>
      </c>
      <c r="D53" s="2482"/>
      <c r="E53" s="2224"/>
      <c r="F53" s="2403"/>
      <c r="G53" s="407"/>
      <c r="H53" s="1507"/>
      <c r="I53" s="658"/>
      <c r="J53" s="578"/>
      <c r="K53" s="1507"/>
      <c r="L53" s="221"/>
      <c r="M53" s="2190"/>
      <c r="N53" s="341"/>
      <c r="O53" s="1631"/>
      <c r="P53" s="1631"/>
      <c r="AH53" s="1638">
        <v>0</v>
      </c>
    </row>
    <row s="1642" customFormat="1" customHeight="1" ht="18.75" hidden="1">
      <c r="A54" s="1786" t="s">
        <v>229</v>
      </c>
      <c r="B54" s="1786" t="s">
        <v>230</v>
      </c>
      <c r="C54" s="376"/>
      <c r="D54" s="2482"/>
      <c r="E54" s="2224"/>
      <c r="F54" s="2403" t="str">
        <f>INDEX(PT_DIFFERENTIATION_VTAR,MATCH(A54,PT_DIFFERENTIATION_VTAR_ID,0))</f>
        <v>Тариф на техническую воду</v>
      </c>
      <c r="G54" s="2447" t="str">
        <f>INDEX(PT_DIFFERENTIATION_NTAR,MATCH(B54,PT_DIFFERENTIATION_NTAR_ID,0))</f>
        <v/>
      </c>
      <c r="H54" s="1866"/>
      <c r="I54" s="1745"/>
      <c r="J54" s="1779"/>
      <c r="K54" s="1869"/>
      <c r="L54" s="1866" t="s">
        <v>305</v>
      </c>
      <c r="M54" s="2190"/>
      <c r="N54" s="341"/>
      <c r="O54" s="1631"/>
      <c r="P54" s="1631"/>
      <c r="AH54" s="1638">
        <v>0</v>
      </c>
    </row>
    <row s="1642" customFormat="1" customHeight="1" ht="18.75" hidden="1">
      <c r="A55" s="1786"/>
      <c r="B55" s="1786"/>
      <c r="C55" s="376" t="s">
        <v>1242</v>
      </c>
      <c r="D55" s="2482"/>
      <c r="E55" s="2224"/>
      <c r="F55" s="2403"/>
      <c r="G55" s="2447"/>
      <c r="H55" s="1507"/>
      <c r="I55" s="658" t="s">
        <v>1243</v>
      </c>
      <c r="J55" s="578"/>
      <c r="K55" s="1507"/>
      <c r="L55" s="221"/>
      <c r="M55" s="2190"/>
      <c r="N55" s="341"/>
      <c r="O55" s="1631"/>
      <c r="P55" s="1631"/>
      <c r="AH55" s="1638">
        <v>0</v>
      </c>
    </row>
    <row s="1642" customFormat="1" customHeight="1" ht="0.75" hidden="1">
      <c r="A56" s="1786"/>
      <c r="B56" s="1786"/>
      <c r="C56" s="376" t="s">
        <v>1248</v>
      </c>
      <c r="D56" s="2482"/>
      <c r="E56" s="2224"/>
      <c r="F56" s="2403"/>
      <c r="G56" s="407"/>
      <c r="H56" s="1507"/>
      <c r="I56" s="658"/>
      <c r="J56" s="578"/>
      <c r="K56" s="1507"/>
      <c r="L56" s="221"/>
      <c r="M56" s="2190"/>
      <c r="N56" s="341"/>
      <c r="O56" s="1631"/>
      <c r="P56" s="1631"/>
      <c r="AH56" s="1638">
        <v>0</v>
      </c>
    </row>
    <row s="1642" customFormat="1" customHeight="1" ht="18.75" hidden="1">
      <c r="A57" s="1786" t="s">
        <v>234</v>
      </c>
      <c r="B57" s="1786" t="s">
        <v>235</v>
      </c>
      <c r="C57" s="376"/>
      <c r="D57" s="2482"/>
      <c r="E57" s="2224"/>
      <c r="F57" s="2403" t="str">
        <f>INDEX(PT_DIFFERENTIATION_VTAR,MATCH(A57,PT_DIFFERENTIATION_VTAR_ID,0))</f>
        <v>Тариф на транспортировку воды</v>
      </c>
      <c r="G57" s="2447" t="str">
        <f>INDEX(PT_DIFFERENTIATION_NTAR,MATCH(B57,PT_DIFFERENTIATION_NTAR_ID,0))</f>
        <v/>
      </c>
      <c r="H57" s="1866"/>
      <c r="I57" s="1745"/>
      <c r="J57" s="1779"/>
      <c r="K57" s="1869"/>
      <c r="L57" s="1866" t="s">
        <v>305</v>
      </c>
      <c r="M57" s="2190"/>
      <c r="N57" s="341"/>
      <c r="O57" s="1631"/>
      <c r="P57" s="1631"/>
      <c r="AH57" s="1638">
        <v>0</v>
      </c>
    </row>
    <row s="1642" customFormat="1" customHeight="1" ht="18.75" hidden="1">
      <c r="A58" s="1786"/>
      <c r="B58" s="1786"/>
      <c r="C58" s="376" t="s">
        <v>1242</v>
      </c>
      <c r="D58" s="2482"/>
      <c r="E58" s="2224"/>
      <c r="F58" s="2403"/>
      <c r="G58" s="2447"/>
      <c r="H58" s="1507"/>
      <c r="I58" s="658" t="s">
        <v>1243</v>
      </c>
      <c r="J58" s="578"/>
      <c r="K58" s="1507"/>
      <c r="L58" s="221"/>
      <c r="M58" s="2190"/>
      <c r="N58" s="341"/>
      <c r="O58" s="1631"/>
      <c r="P58" s="1631"/>
      <c r="AH58" s="1638">
        <v>0</v>
      </c>
    </row>
    <row s="1642" customFormat="1" customHeight="1" ht="0.75" hidden="1">
      <c r="A59" s="1786"/>
      <c r="B59" s="1786"/>
      <c r="C59" s="376" t="s">
        <v>1248</v>
      </c>
      <c r="D59" s="2482"/>
      <c r="E59" s="2224"/>
      <c r="F59" s="2403"/>
      <c r="G59" s="407"/>
      <c r="H59" s="1507"/>
      <c r="I59" s="658"/>
      <c r="J59" s="578"/>
      <c r="K59" s="1507"/>
      <c r="L59" s="221"/>
      <c r="M59" s="2190"/>
      <c r="N59" s="341"/>
      <c r="O59" s="1631"/>
      <c r="P59" s="1631"/>
      <c r="AH59" s="1638">
        <v>0</v>
      </c>
    </row>
    <row s="1642" customFormat="1" customHeight="1" ht="18.75" hidden="1">
      <c r="A60" s="1786" t="s">
        <v>239</v>
      </c>
      <c r="B60" s="1786" t="s">
        <v>240</v>
      </c>
      <c r="C60" s="376"/>
      <c r="D60" s="2482"/>
      <c r="E60" s="2224"/>
      <c r="F60" s="2403" t="str">
        <f>INDEX(PT_DIFFERENTIATION_VTAR,MATCH(A60,PT_DIFFERENTIATION_VTAR_ID,0))</f>
        <v>Тариф на подвоз воды</v>
      </c>
      <c r="G60" s="2447" t="str">
        <f>INDEX(PT_DIFFERENTIATION_NTAR,MATCH(B60,PT_DIFFERENTIATION_NTAR_ID,0))</f>
        <v/>
      </c>
      <c r="H60" s="1866"/>
      <c r="I60" s="1745"/>
      <c r="J60" s="1779"/>
      <c r="K60" s="1869"/>
      <c r="L60" s="1866" t="s">
        <v>305</v>
      </c>
      <c r="M60" s="2190"/>
      <c r="N60" s="341"/>
      <c r="O60" s="1631"/>
      <c r="P60" s="1631"/>
      <c r="AH60" s="1638">
        <v>0</v>
      </c>
    </row>
    <row s="1642" customFormat="1" customHeight="1" ht="18.75" hidden="1">
      <c r="A61" s="1786"/>
      <c r="B61" s="1786"/>
      <c r="C61" s="376" t="s">
        <v>1242</v>
      </c>
      <c r="D61" s="2482"/>
      <c r="E61" s="2224"/>
      <c r="F61" s="2403"/>
      <c r="G61" s="2447"/>
      <c r="H61" s="1507"/>
      <c r="I61" s="658" t="s">
        <v>1243</v>
      </c>
      <c r="J61" s="578"/>
      <c r="K61" s="1507"/>
      <c r="L61" s="221"/>
      <c r="M61" s="2190"/>
      <c r="N61" s="341"/>
      <c r="O61" s="1631"/>
      <c r="P61" s="1631"/>
      <c r="AH61" s="1638">
        <v>0</v>
      </c>
    </row>
    <row s="1642" customFormat="1" customHeight="1" ht="0.75" hidden="1">
      <c r="A62" s="1786"/>
      <c r="B62" s="1786"/>
      <c r="C62" s="376" t="s">
        <v>1248</v>
      </c>
      <c r="D62" s="2482"/>
      <c r="E62" s="2224"/>
      <c r="F62" s="2403"/>
      <c r="G62" s="407"/>
      <c r="H62" s="1507"/>
      <c r="I62" s="658"/>
      <c r="J62" s="578"/>
      <c r="K62" s="1507"/>
      <c r="L62" s="221"/>
      <c r="M62" s="2190"/>
      <c r="N62" s="341"/>
      <c r="O62" s="1631"/>
      <c r="P62" s="1631"/>
      <c r="AH62" s="1638">
        <v>0</v>
      </c>
    </row>
    <row s="1642" customFormat="1" customHeight="1" ht="18.75" hidden="1">
      <c r="A63" s="1786" t="s">
        <v>244</v>
      </c>
      <c r="B63" s="1786" t="s">
        <v>245</v>
      </c>
      <c r="C63" s="376"/>
      <c r="D63" s="2482"/>
      <c r="E63" s="2224"/>
      <c r="F63" s="24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7" t="str">
        <f>INDEX(PT_DIFFERENTIATION_NTAR,MATCH(B63,PT_DIFFERENTIATION_NTAR_ID,0))</f>
        <v/>
      </c>
      <c r="H63" s="1866"/>
      <c r="I63" s="1745"/>
      <c r="J63" s="1779"/>
      <c r="K63" s="1869"/>
      <c r="L63" s="1866" t="s">
        <v>305</v>
      </c>
      <c r="M63" s="2190"/>
      <c r="N63" s="341"/>
      <c r="O63" s="1631"/>
      <c r="P63" s="1631"/>
      <c r="AH63" s="1638">
        <v>0</v>
      </c>
    </row>
    <row s="1642" customFormat="1" customHeight="1" ht="18.75" hidden="1">
      <c r="A64" s="1786"/>
      <c r="B64" s="1786"/>
      <c r="C64" s="376" t="s">
        <v>1242</v>
      </c>
      <c r="D64" s="2482"/>
      <c r="E64" s="2224"/>
      <c r="F64" s="2403"/>
      <c r="G64" s="2447"/>
      <c r="H64" s="1507"/>
      <c r="I64" s="658" t="s">
        <v>1243</v>
      </c>
      <c r="J64" s="578"/>
      <c r="K64" s="1507"/>
      <c r="L64" s="221"/>
      <c r="M64" s="2190"/>
      <c r="N64" s="341"/>
      <c r="O64" s="1631"/>
      <c r="P64" s="1631"/>
      <c r="AH64" s="1638">
        <v>0</v>
      </c>
    </row>
    <row s="1642" customFormat="1" customHeight="1" ht="0.75" hidden="1">
      <c r="A65" s="1786"/>
      <c r="B65" s="1786"/>
      <c r="C65" s="376" t="s">
        <v>1248</v>
      </c>
      <c r="D65" s="2482"/>
      <c r="E65" s="2224"/>
      <c r="F65" s="2403"/>
      <c r="G65" s="407"/>
      <c r="H65" s="1507"/>
      <c r="I65" s="658"/>
      <c r="J65" s="578"/>
      <c r="K65" s="1507"/>
      <c r="L65" s="221"/>
      <c r="M65" s="2190"/>
      <c r="N65" s="341"/>
      <c r="O65" s="1631"/>
      <c r="P65" s="1631"/>
      <c r="AH65" s="1638">
        <v>0</v>
      </c>
    </row>
    <row s="1642" customFormat="1" customHeight="1" ht="18.75" hidden="1">
      <c r="A66" s="1786" t="s">
        <v>249</v>
      </c>
      <c r="B66" s="1786" t="s">
        <v>250</v>
      </c>
      <c r="C66" s="376"/>
      <c r="D66" s="2482"/>
      <c r="E66" s="2224"/>
      <c r="F66" s="2403" t="str">
        <f>INDEX(PT_DIFFERENTIATION_VTAR,MATCH(A66,PT_DIFFERENTIATION_VTAR_ID,0))</f>
        <v>Тариф на горячую воду (горячее водоснабжение)</v>
      </c>
      <c r="G66" s="2447" t="str">
        <f>INDEX(PT_DIFFERENTIATION_NTAR,MATCH(B66,PT_DIFFERENTIATION_NTAR_ID,0))</f>
        <v/>
      </c>
      <c r="H66" s="1866"/>
      <c r="I66" s="1745"/>
      <c r="J66" s="1779"/>
      <c r="K66" s="1869"/>
      <c r="L66" s="1866" t="s">
        <v>305</v>
      </c>
      <c r="M66" s="2190"/>
      <c r="N66" s="341"/>
      <c r="O66" s="1631"/>
      <c r="P66" s="1631"/>
      <c r="AH66" s="1638">
        <v>0</v>
      </c>
    </row>
    <row s="1642" customFormat="1" customHeight="1" ht="18.75" hidden="1">
      <c r="A67" s="1786"/>
      <c r="B67" s="1786"/>
      <c r="C67" s="376" t="s">
        <v>1242</v>
      </c>
      <c r="D67" s="2482"/>
      <c r="E67" s="2224"/>
      <c r="F67" s="2403"/>
      <c r="G67" s="2447"/>
      <c r="H67" s="1507"/>
      <c r="I67" s="658" t="s">
        <v>1243</v>
      </c>
      <c r="J67" s="578"/>
      <c r="K67" s="1507"/>
      <c r="L67" s="221"/>
      <c r="M67" s="2190"/>
      <c r="N67" s="341"/>
      <c r="O67" s="1631"/>
      <c r="P67" s="1631"/>
      <c r="AH67" s="1638">
        <v>0</v>
      </c>
    </row>
    <row s="1642" customFormat="1" customHeight="1" ht="0.75" hidden="1">
      <c r="A68" s="1786"/>
      <c r="B68" s="1786"/>
      <c r="C68" s="376" t="s">
        <v>1248</v>
      </c>
      <c r="D68" s="2482"/>
      <c r="E68" s="2224"/>
      <c r="F68" s="2403"/>
      <c r="G68" s="407"/>
      <c r="H68" s="1507"/>
      <c r="I68" s="658"/>
      <c r="J68" s="578"/>
      <c r="K68" s="1507"/>
      <c r="L68" s="221"/>
      <c r="M68" s="2190"/>
      <c r="N68" s="341"/>
      <c r="O68" s="1631"/>
      <c r="P68" s="1631"/>
      <c r="AH68" s="1638">
        <v>0</v>
      </c>
    </row>
    <row s="1642" customFormat="1" customHeight="1" ht="18.75" hidden="1">
      <c r="A69" s="1786" t="s">
        <v>254</v>
      </c>
      <c r="B69" s="1786" t="s">
        <v>255</v>
      </c>
      <c r="C69" s="376"/>
      <c r="D69" s="2482"/>
      <c r="E69" s="2224"/>
      <c r="F69" s="2403" t="str">
        <f>INDEX(PT_DIFFERENTIATION_VTAR,MATCH(A69,PT_DIFFERENTIATION_VTAR_ID,0))</f>
        <v>Тариф на транспортировку горячей воды</v>
      </c>
      <c r="G69" s="2447" t="str">
        <f>INDEX(PT_DIFFERENTIATION_NTAR,MATCH(B69,PT_DIFFERENTIATION_NTAR_ID,0))</f>
        <v/>
      </c>
      <c r="H69" s="1866"/>
      <c r="I69" s="1745"/>
      <c r="J69" s="1779"/>
      <c r="K69" s="1869"/>
      <c r="L69" s="1866" t="s">
        <v>305</v>
      </c>
      <c r="M69" s="2190"/>
      <c r="N69" s="341"/>
      <c r="O69" s="1631"/>
      <c r="P69" s="1631"/>
      <c r="AH69" s="1638">
        <v>0</v>
      </c>
    </row>
    <row s="1642" customFormat="1" customHeight="1" ht="18.75" hidden="1">
      <c r="A70" s="1786"/>
      <c r="B70" s="1786"/>
      <c r="C70" s="376" t="s">
        <v>1242</v>
      </c>
      <c r="D70" s="2482"/>
      <c r="E70" s="2224"/>
      <c r="F70" s="2403"/>
      <c r="G70" s="2447"/>
      <c r="H70" s="1507"/>
      <c r="I70" s="658" t="s">
        <v>1243</v>
      </c>
      <c r="J70" s="578"/>
      <c r="K70" s="1507"/>
      <c r="L70" s="221"/>
      <c r="M70" s="2190"/>
      <c r="N70" s="341"/>
      <c r="O70" s="1631"/>
      <c r="P70" s="1631"/>
      <c r="AH70" s="1638">
        <v>0</v>
      </c>
    </row>
    <row s="1642" customFormat="1" customHeight="1" ht="0.75" hidden="1">
      <c r="A71" s="1786"/>
      <c r="B71" s="1786"/>
      <c r="C71" s="376" t="s">
        <v>1248</v>
      </c>
      <c r="D71" s="2482"/>
      <c r="E71" s="2224"/>
      <c r="F71" s="2403"/>
      <c r="G71" s="407"/>
      <c r="H71" s="1507"/>
      <c r="I71" s="658"/>
      <c r="J71" s="578"/>
      <c r="K71" s="1507"/>
      <c r="L71" s="221"/>
      <c r="M71" s="2190"/>
      <c r="N71" s="341"/>
      <c r="O71" s="1631"/>
      <c r="P71" s="1631"/>
      <c r="AH71" s="1638">
        <v>0</v>
      </c>
    </row>
    <row s="1642" customFormat="1" customHeight="1" ht="18.75" hidden="1">
      <c r="A72" s="1786" t="s">
        <v>259</v>
      </c>
      <c r="B72" s="1786" t="s">
        <v>260</v>
      </c>
      <c r="C72" s="376"/>
      <c r="D72" s="2482"/>
      <c r="E72" s="2224"/>
      <c r="F72" s="2403" t="str">
        <f>INDEX(PT_DIFFERENTIATION_VTAR,MATCH(A72,PT_DIFFERENTIATION_VTAR_ID,0))</f>
        <v>Тариф на подключение (технологическое присоединение) к централизованной системе горячего водоснабжения</v>
      </c>
      <c r="G72" s="2447" t="str">
        <f>INDEX(PT_DIFFERENTIATION_NTAR,MATCH(B72,PT_DIFFERENTIATION_NTAR_ID,0))</f>
        <v/>
      </c>
      <c r="H72" s="1866"/>
      <c r="I72" s="1745"/>
      <c r="J72" s="1779"/>
      <c r="K72" s="1869"/>
      <c r="L72" s="1866" t="s">
        <v>305</v>
      </c>
      <c r="M72" s="2190"/>
      <c r="N72" s="341"/>
      <c r="O72" s="1631"/>
      <c r="P72" s="1631"/>
      <c r="AH72" s="1638">
        <v>0</v>
      </c>
    </row>
    <row s="1642" customFormat="1" customHeight="1" ht="18.75" hidden="1">
      <c r="A73" s="1786"/>
      <c r="B73" s="1786"/>
      <c r="C73" s="376" t="s">
        <v>1242</v>
      </c>
      <c r="D73" s="2482"/>
      <c r="E73" s="2224"/>
      <c r="F73" s="2403"/>
      <c r="G73" s="2447"/>
      <c r="H73" s="1507"/>
      <c r="I73" s="658" t="s">
        <v>1243</v>
      </c>
      <c r="J73" s="578"/>
      <c r="K73" s="1507"/>
      <c r="L73" s="221"/>
      <c r="M73" s="2190"/>
      <c r="N73" s="341"/>
      <c r="O73" s="1631"/>
      <c r="P73" s="1631"/>
      <c r="AH73" s="1638">
        <v>0</v>
      </c>
    </row>
    <row s="1642" customFormat="1" customHeight="1" ht="0.75" hidden="1">
      <c r="A74" s="1786"/>
      <c r="B74" s="1786"/>
      <c r="C74" s="376" t="s">
        <v>1248</v>
      </c>
      <c r="D74" s="2482"/>
      <c r="E74" s="2224"/>
      <c r="F74" s="2403"/>
      <c r="G74" s="407"/>
      <c r="H74" s="1507"/>
      <c r="I74" s="658"/>
      <c r="J74" s="578"/>
      <c r="K74" s="1507"/>
      <c r="L74" s="221"/>
      <c r="M74" s="2190"/>
      <c r="N74" s="341"/>
      <c r="O74" s="1631"/>
      <c r="P74" s="1631"/>
      <c r="AH74" s="1638">
        <v>0</v>
      </c>
    </row>
    <row s="1642" customFormat="1" customHeight="1" ht="18.75" hidden="1">
      <c r="A75" s="1786" t="s">
        <v>264</v>
      </c>
      <c r="B75" s="1786" t="s">
        <v>265</v>
      </c>
      <c r="C75" s="376"/>
      <c r="D75" s="2482"/>
      <c r="E75" s="2224"/>
      <c r="F75" s="2403" t="str">
        <f>INDEX(PT_DIFFERENTIATION_VTAR,MATCH(A75,PT_DIFFERENTIATION_VTAR_ID,0))</f>
        <v>Тариф на водоотведение</v>
      </c>
      <c r="G75" s="2447" t="str">
        <f>INDEX(PT_DIFFERENTIATION_NTAR,MATCH(B75,PT_DIFFERENTIATION_NTAR_ID,0))</f>
        <v/>
      </c>
      <c r="H75" s="1866"/>
      <c r="I75" s="1745"/>
      <c r="J75" s="1779"/>
      <c r="K75" s="1869"/>
      <c r="L75" s="1866" t="s">
        <v>305</v>
      </c>
      <c r="M75" s="2190"/>
      <c r="N75" s="341"/>
      <c r="O75" s="1631"/>
      <c r="P75" s="1631"/>
      <c r="AH75" s="1638">
        <v>0</v>
      </c>
    </row>
    <row s="1642" customFormat="1" customHeight="1" ht="18.75" hidden="1">
      <c r="A76" s="1786"/>
      <c r="B76" s="1786"/>
      <c r="C76" s="376" t="s">
        <v>1242</v>
      </c>
      <c r="D76" s="2482"/>
      <c r="E76" s="2224"/>
      <c r="F76" s="2403"/>
      <c r="G76" s="2447"/>
      <c r="H76" s="1507"/>
      <c r="I76" s="658" t="s">
        <v>1243</v>
      </c>
      <c r="J76" s="578"/>
      <c r="K76" s="1507"/>
      <c r="L76" s="221"/>
      <c r="M76" s="2190"/>
      <c r="N76" s="341"/>
      <c r="O76" s="1631"/>
      <c r="P76" s="1631"/>
      <c r="AH76" s="1638">
        <v>0</v>
      </c>
    </row>
    <row s="1642" customFormat="1" customHeight="1" ht="0.75" hidden="1">
      <c r="A77" s="1786"/>
      <c r="B77" s="1786"/>
      <c r="C77" s="376" t="s">
        <v>1248</v>
      </c>
      <c r="D77" s="2482"/>
      <c r="E77" s="2224"/>
      <c r="F77" s="2403"/>
      <c r="G77" s="407"/>
      <c r="H77" s="1507"/>
      <c r="I77" s="658"/>
      <c r="J77" s="578"/>
      <c r="K77" s="1507"/>
      <c r="L77" s="221"/>
      <c r="M77" s="2190"/>
      <c r="N77" s="341"/>
      <c r="O77" s="1631"/>
      <c r="P77" s="1631"/>
      <c r="AH77" s="1638">
        <v>0</v>
      </c>
    </row>
    <row s="1642" customFormat="1" customHeight="1" ht="18.75" hidden="1">
      <c r="A78" s="1786" t="s">
        <v>269</v>
      </c>
      <c r="B78" s="1786" t="s">
        <v>270</v>
      </c>
      <c r="C78" s="376"/>
      <c r="D78" s="2482"/>
      <c r="E78" s="2224"/>
      <c r="F78" s="2403" t="str">
        <f>INDEX(PT_DIFFERENTIATION_VTAR,MATCH(A78,PT_DIFFERENTIATION_VTAR_ID,0))</f>
        <v>Тариф на транспортировку сточных вод</v>
      </c>
      <c r="G78" s="2447" t="str">
        <f>INDEX(PT_DIFFERENTIATION_NTAR,MATCH(B78,PT_DIFFERENTIATION_NTAR_ID,0))</f>
        <v/>
      </c>
      <c r="H78" s="1866"/>
      <c r="I78" s="1745"/>
      <c r="J78" s="1779"/>
      <c r="K78" s="1869"/>
      <c r="L78" s="1866" t="s">
        <v>305</v>
      </c>
      <c r="M78" s="2190"/>
      <c r="N78" s="341"/>
      <c r="O78" s="1631"/>
      <c r="P78" s="1631"/>
      <c r="AH78" s="1638">
        <v>0</v>
      </c>
    </row>
    <row s="1642" customFormat="1" customHeight="1" ht="18.75" hidden="1">
      <c r="A79" s="1786"/>
      <c r="B79" s="1786"/>
      <c r="C79" s="376" t="s">
        <v>1242</v>
      </c>
      <c r="D79" s="2482"/>
      <c r="E79" s="2224"/>
      <c r="F79" s="2403"/>
      <c r="G79" s="2447"/>
      <c r="H79" s="1507"/>
      <c r="I79" s="658" t="s">
        <v>1243</v>
      </c>
      <c r="J79" s="578"/>
      <c r="K79" s="1507"/>
      <c r="L79" s="221"/>
      <c r="M79" s="2190"/>
      <c r="N79" s="341"/>
      <c r="O79" s="1631"/>
      <c r="P79" s="1631"/>
      <c r="AH79" s="1638">
        <v>0</v>
      </c>
    </row>
    <row s="1642" customFormat="1" customHeight="1" ht="0.75" hidden="1">
      <c r="A80" s="1786"/>
      <c r="B80" s="1786"/>
      <c r="C80" s="376" t="s">
        <v>1248</v>
      </c>
      <c r="D80" s="2482"/>
      <c r="E80" s="2224"/>
      <c r="F80" s="2403"/>
      <c r="G80" s="407"/>
      <c r="H80" s="1507"/>
      <c r="I80" s="658"/>
      <c r="J80" s="578"/>
      <c r="K80" s="1507"/>
      <c r="L80" s="221"/>
      <c r="M80" s="2190"/>
      <c r="N80" s="341"/>
      <c r="O80" s="1631"/>
      <c r="P80" s="1631"/>
      <c r="AH80" s="1638">
        <v>0</v>
      </c>
    </row>
    <row s="1642" customFormat="1" customHeight="1" ht="18.75" hidden="1">
      <c r="A81" s="1786" t="s">
        <v>274</v>
      </c>
      <c r="B81" s="1786" t="s">
        <v>275</v>
      </c>
      <c r="C81" s="376"/>
      <c r="D81" s="2482"/>
      <c r="E81" s="2224"/>
      <c r="F81" s="2403" t="str">
        <f>INDEX(PT_DIFFERENTIATION_VTAR,MATCH(A81,PT_DIFFERENTIATION_VTAR_ID,0))</f>
        <v>Тариф на подключение (технологическое присоединение) к централизованной системе водоотведения</v>
      </c>
      <c r="G81" s="2447" t="str">
        <f>INDEX(PT_DIFFERENTIATION_NTAR,MATCH(B81,PT_DIFFERENTIATION_NTAR_ID,0))</f>
        <v/>
      </c>
      <c r="H81" s="1866"/>
      <c r="I81" s="1745"/>
      <c r="J81" s="1779"/>
      <c r="K81" s="1869"/>
      <c r="L81" s="1866" t="s">
        <v>305</v>
      </c>
      <c r="M81" s="2190"/>
      <c r="N81" s="341"/>
      <c r="O81" s="1631"/>
      <c r="P81" s="1631"/>
      <c r="AH81" s="1638">
        <v>0</v>
      </c>
    </row>
    <row s="1642" customFormat="1" customHeight="1" ht="18.75" hidden="1">
      <c r="A82" s="1786"/>
      <c r="B82" s="1786"/>
      <c r="C82" s="376" t="s">
        <v>1242</v>
      </c>
      <c r="D82" s="2482"/>
      <c r="E82" s="2224"/>
      <c r="F82" s="2403"/>
      <c r="G82" s="2447"/>
      <c r="H82" s="1507"/>
      <c r="I82" s="658" t="s">
        <v>1243</v>
      </c>
      <c r="J82" s="578"/>
      <c r="K82" s="1507"/>
      <c r="L82" s="221"/>
      <c r="M82" s="2190"/>
      <c r="N82" s="341"/>
      <c r="O82" s="1631"/>
      <c r="P82" s="1631"/>
      <c r="AH82" s="1638">
        <v>0</v>
      </c>
    </row>
    <row s="1642" customFormat="1" customHeight="1" ht="1.05">
      <c r="A83" s="1786"/>
      <c r="B83" s="1786"/>
      <c r="C83" s="376" t="s">
        <v>1248</v>
      </c>
      <c r="D83" s="2482"/>
      <c r="E83" s="2224"/>
      <c r="F83" s="2403"/>
      <c r="G83" s="407"/>
      <c r="H83" s="1507"/>
      <c r="I83" s="658"/>
      <c r="J83" s="578"/>
      <c r="K83" s="1507"/>
      <c r="L83" s="221"/>
      <c r="M83" s="2190"/>
      <c r="N83" s="341"/>
      <c r="O83" s="1631"/>
      <c r="P83" s="1631"/>
      <c r="AH83" s="1638">
        <v>1</v>
      </c>
    </row>
    <row customHeight="1" ht="19.95">
      <c r="A84" s="1786"/>
      <c r="B84" s="1786"/>
      <c r="D84" s="383"/>
      <c r="E84" s="154" t="s">
        <v>110</v>
      </c>
      <c r="F84" s="24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80"/>
      <c r="H84" s="2480"/>
      <c r="I84" s="2480"/>
      <c r="J84" s="2480"/>
      <c r="K84" s="2480"/>
      <c r="L84" s="2480"/>
      <c r="M84" s="304"/>
      <c r="N84" s="341"/>
      <c r="AH84" s="381">
        <v>19</v>
      </c>
    </row>
    <row customHeight="1" ht="35.699999999999996">
      <c r="A85" s="1786"/>
      <c r="B85" s="1786"/>
      <c r="D85" s="383"/>
      <c r="E85" s="406"/>
      <c r="F85" s="205" t="s">
        <v>305</v>
      </c>
      <c r="G85" s="205" t="s">
        <v>305</v>
      </c>
      <c r="H85" s="2238" t="s">
        <v>305</v>
      </c>
      <c r="I85" s="2240"/>
      <c r="J85" s="205" t="s">
        <v>305</v>
      </c>
      <c r="K85" s="205" t="s">
        <v>305</v>
      </c>
      <c r="L85" s="408"/>
      <c r="M85" s="352" t="s">
        <v>1249</v>
      </c>
      <c r="N85" s="341"/>
      <c r="AH85" s="381">
        <v>34</v>
      </c>
    </row>
    <row customHeight="1" ht="19.95">
      <c r="A86" s="1786"/>
      <c r="B86" s="1786"/>
      <c r="D86" s="383"/>
      <c r="E86" s="154" t="s">
        <v>89</v>
      </c>
      <c r="F86" s="2480" t="s">
        <v>1250</v>
      </c>
      <c r="G86" s="2480"/>
      <c r="H86" s="2480"/>
      <c r="I86" s="2480"/>
      <c r="J86" s="2480"/>
      <c r="K86" s="2480"/>
      <c r="L86" s="2480"/>
      <c r="M86" s="304"/>
      <c r="N86" s="341"/>
      <c r="AH86" s="381">
        <v>19</v>
      </c>
    </row>
    <row s="1642" customFormat="1" customHeight="1" ht="60.75" hidden="1">
      <c r="A87" s="1786" t="s">
        <v>156</v>
      </c>
      <c r="B87" s="1786" t="s">
        <v>157</v>
      </c>
      <c r="C87" s="376"/>
      <c r="D87" s="2482"/>
      <c r="E87" s="2224"/>
      <c r="F87" s="24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7" t="str">
        <f>INDEX(PT_DIFFERENTIATION_NTAR,MATCH(B87,PT_DIFFERENTIATION_NTAR_ID,0))</f>
        <v/>
      </c>
      <c r="H87" s="1866"/>
      <c r="I87" s="1745"/>
      <c r="J87" s="1779"/>
      <c r="K87" s="1784"/>
      <c r="L87" s="1866" t="s">
        <v>305</v>
      </c>
      <c r="M87"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6"/>
      <c r="B88" s="1786"/>
      <c r="C88" s="376" t="s">
        <v>1244</v>
      </c>
      <c r="D88" s="2482"/>
      <c r="E88" s="2224"/>
      <c r="F88" s="2403"/>
      <c r="G88" s="2447"/>
      <c r="H88" s="1507"/>
      <c r="I88" s="658" t="s">
        <v>1243</v>
      </c>
      <c r="J88" s="578"/>
      <c r="K88" s="1507"/>
      <c r="L88" s="221"/>
      <c r="M88" s="2190"/>
      <c r="N88" s="341"/>
      <c r="O88" s="1631"/>
      <c r="P88" s="1631"/>
      <c r="AH88" s="1638">
        <v>0</v>
      </c>
    </row>
    <row s="1642" customFormat="1" customHeight="1" ht="0.75" hidden="1">
      <c r="A89" s="1786"/>
      <c r="B89" s="1786"/>
      <c r="C89" s="376" t="s">
        <v>1251</v>
      </c>
      <c r="D89" s="2482"/>
      <c r="E89" s="2224"/>
      <c r="F89" s="2403"/>
      <c r="G89" s="407"/>
      <c r="H89" s="1507"/>
      <c r="I89" s="658"/>
      <c r="J89" s="578"/>
      <c r="K89" s="1507"/>
      <c r="L89" s="221"/>
      <c r="M89" s="2190"/>
      <c r="N89" s="341"/>
      <c r="O89" s="1631"/>
      <c r="P89" s="1631"/>
      <c r="AH89" s="1638">
        <v>0</v>
      </c>
    </row>
    <row s="1642" customFormat="1" customHeight="1" ht="45" hidden="1">
      <c r="A90" s="1786" t="s">
        <v>161</v>
      </c>
      <c r="B90" s="1786" t="s">
        <v>162</v>
      </c>
      <c r="C90" s="376"/>
      <c r="D90" s="2482"/>
      <c r="E90" s="2224"/>
      <c r="F90" s="2403" t="str">
        <f>INDEX(PT_DIFFERENTIATION_VTAR,MATCH(A90,PT_DIFFERENTIATION_VTAR_ID,0))</f>
        <v/>
      </c>
      <c r="G90" s="2447" t="str">
        <f>INDEX(PT_DIFFERENTIATION_NTAR,MATCH(B90,PT_DIFFERENTIATION_NTAR_ID,0))</f>
        <v/>
      </c>
      <c r="H90" s="1866"/>
      <c r="I90" s="1745"/>
      <c r="J90" s="1779"/>
      <c r="K90" s="1784"/>
      <c r="L90" s="1866" t="s">
        <v>305</v>
      </c>
      <c r="M90" s="2191"/>
      <c r="N90" s="341"/>
      <c r="O90" s="1631"/>
      <c r="P90" s="1631"/>
      <c r="AH90" s="1638">
        <v>0</v>
      </c>
    </row>
    <row s="1642" customFormat="1" customHeight="1" ht="18.75" hidden="1">
      <c r="A91" s="1786"/>
      <c r="B91" s="1786"/>
      <c r="C91" s="376" t="s">
        <v>1244</v>
      </c>
      <c r="D91" s="2482"/>
      <c r="E91" s="2224"/>
      <c r="F91" s="2403"/>
      <c r="G91" s="2447"/>
      <c r="H91" s="1507"/>
      <c r="I91" s="658" t="s">
        <v>1243</v>
      </c>
      <c r="J91" s="578"/>
      <c r="K91" s="1507"/>
      <c r="L91" s="221"/>
      <c r="M91" s="1865"/>
      <c r="N91" s="341"/>
      <c r="O91" s="1631"/>
      <c r="P91" s="1631"/>
      <c r="AH91" s="1638">
        <v>0</v>
      </c>
    </row>
    <row s="1642" customFormat="1" customHeight="1" ht="0.75" hidden="1">
      <c r="A92" s="1786"/>
      <c r="B92" s="1786"/>
      <c r="C92" s="376" t="s">
        <v>1251</v>
      </c>
      <c r="D92" s="2482"/>
      <c r="E92" s="2224"/>
      <c r="F92" s="2403"/>
      <c r="G92" s="407"/>
      <c r="H92" s="1507"/>
      <c r="I92" s="658"/>
      <c r="J92" s="578"/>
      <c r="K92" s="1507"/>
      <c r="L92" s="221"/>
      <c r="M92" s="348"/>
      <c r="N92" s="341"/>
      <c r="O92" s="1631"/>
      <c r="P92" s="1631"/>
      <c r="AH92" s="1638">
        <v>0</v>
      </c>
    </row>
    <row s="1642" customFormat="1" customHeight="1" ht="45" hidden="1">
      <c r="A93" s="1786" t="s">
        <v>168</v>
      </c>
      <c r="B93" s="1786" t="s">
        <v>169</v>
      </c>
      <c r="C93" s="376"/>
      <c r="D93" s="2482"/>
      <c r="E93" s="2224"/>
      <c r="F93" s="24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7" t="str">
        <f>INDEX(PT_DIFFERENTIATION_NTAR,MATCH(B93,PT_DIFFERENTIATION_NTAR_ID,0))</f>
        <v/>
      </c>
      <c r="H93" s="1866"/>
      <c r="I93" s="1745"/>
      <c r="J93" s="1779"/>
      <c r="K93" s="1784"/>
      <c r="L93" s="1866" t="s">
        <v>305</v>
      </c>
      <c r="M93" s="348"/>
      <c r="N93" s="341"/>
      <c r="O93" s="1631"/>
      <c r="P93" s="1631"/>
      <c r="AH93" s="1638">
        <v>0</v>
      </c>
    </row>
    <row s="1642" customFormat="1" customHeight="1" ht="18.75" hidden="1">
      <c r="A94" s="1786"/>
      <c r="B94" s="1786"/>
      <c r="C94" s="376" t="s">
        <v>1244</v>
      </c>
      <c r="D94" s="2482"/>
      <c r="E94" s="2224"/>
      <c r="F94" s="2403"/>
      <c r="G94" s="2447"/>
      <c r="H94" s="1507"/>
      <c r="I94" s="658" t="s">
        <v>1243</v>
      </c>
      <c r="J94" s="578"/>
      <c r="K94" s="1507"/>
      <c r="L94" s="221"/>
      <c r="M94" s="348"/>
      <c r="N94" s="341"/>
      <c r="O94" s="1631"/>
      <c r="P94" s="1631"/>
      <c r="AH94" s="1638">
        <v>0</v>
      </c>
    </row>
    <row s="1642" customFormat="1" customHeight="1" ht="0.75" hidden="1">
      <c r="A95" s="1786"/>
      <c r="B95" s="1786"/>
      <c r="C95" s="376" t="s">
        <v>1251</v>
      </c>
      <c r="D95" s="2482"/>
      <c r="E95" s="2224"/>
      <c r="F95" s="2403"/>
      <c r="G95" s="407"/>
      <c r="H95" s="1507"/>
      <c r="I95" s="658"/>
      <c r="J95" s="578"/>
      <c r="K95" s="1507"/>
      <c r="L95" s="221"/>
      <c r="M95" s="348"/>
      <c r="N95" s="341"/>
      <c r="O95" s="1631"/>
      <c r="P95" s="1631"/>
      <c r="AH95" s="1638">
        <v>0</v>
      </c>
    </row>
    <row s="1642" customFormat="1" customHeight="1" ht="45" hidden="1">
      <c r="A96" s="1786" t="s">
        <v>174</v>
      </c>
      <c r="B96" s="1786" t="s">
        <v>175</v>
      </c>
      <c r="C96" s="376"/>
      <c r="D96" s="2482"/>
      <c r="E96" s="2224"/>
      <c r="F96" s="24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7" t="str">
        <f>INDEX(PT_DIFFERENTIATION_NTAR,MATCH(B96,PT_DIFFERENTIATION_NTAR_ID,0))</f>
        <v/>
      </c>
      <c r="H96" s="1866"/>
      <c r="I96" s="1745"/>
      <c r="J96" s="1779"/>
      <c r="K96" s="1784"/>
      <c r="L96" s="1866" t="s">
        <v>305</v>
      </c>
      <c r="M96" s="348"/>
      <c r="N96" s="341"/>
      <c r="O96" s="1631"/>
      <c r="P96" s="1631"/>
      <c r="AH96" s="1638">
        <v>0</v>
      </c>
    </row>
    <row s="1642" customFormat="1" customHeight="1" ht="18.75" hidden="1">
      <c r="A97" s="1786"/>
      <c r="B97" s="1786"/>
      <c r="C97" s="376" t="s">
        <v>1244</v>
      </c>
      <c r="D97" s="2482"/>
      <c r="E97" s="2224"/>
      <c r="F97" s="2403"/>
      <c r="G97" s="2447"/>
      <c r="H97" s="1507"/>
      <c r="I97" s="658" t="s">
        <v>1243</v>
      </c>
      <c r="J97" s="578"/>
      <c r="K97" s="1507"/>
      <c r="L97" s="221"/>
      <c r="M97" s="348"/>
      <c r="N97" s="341"/>
      <c r="O97" s="1631"/>
      <c r="P97" s="1631"/>
      <c r="AH97" s="1638">
        <v>0</v>
      </c>
    </row>
    <row s="1642" customFormat="1" customHeight="1" ht="0.75" hidden="1">
      <c r="A98" s="1786"/>
      <c r="B98" s="1786"/>
      <c r="C98" s="376" t="s">
        <v>1251</v>
      </c>
      <c r="D98" s="2482"/>
      <c r="E98" s="2224"/>
      <c r="F98" s="2403"/>
      <c r="G98" s="407"/>
      <c r="H98" s="1507"/>
      <c r="I98" s="658"/>
      <c r="J98" s="578"/>
      <c r="K98" s="1507"/>
      <c r="L98" s="221"/>
      <c r="M98" s="348"/>
      <c r="N98" s="341"/>
      <c r="O98" s="1631"/>
      <c r="P98" s="1631"/>
      <c r="AH98" s="1638">
        <v>0</v>
      </c>
    </row>
    <row s="1642" customFormat="1" customHeight="1" ht="18.75" hidden="1">
      <c r="A99" s="1786" t="s">
        <v>180</v>
      </c>
      <c r="B99" s="1786" t="s">
        <v>181</v>
      </c>
      <c r="C99" s="376"/>
      <c r="D99" s="2482"/>
      <c r="E99" s="2224"/>
      <c r="F99" s="2403" t="str">
        <f>INDEX(PT_DIFFERENTIATION_VTAR,MATCH(A99,PT_DIFFERENTIATION_VTAR_ID,0))</f>
        <v>Тарифы на услуги по передаче тепловой энергии</v>
      </c>
      <c r="G99" s="2447" t="str">
        <f>INDEX(PT_DIFFERENTIATION_NTAR,MATCH(B99,PT_DIFFERENTIATION_NTAR_ID,0))</f>
        <v/>
      </c>
      <c r="H99" s="1866"/>
      <c r="I99" s="1745"/>
      <c r="J99" s="1779"/>
      <c r="K99" s="1784"/>
      <c r="L99" s="1866" t="s">
        <v>305</v>
      </c>
      <c r="M99" s="348"/>
      <c r="N99" s="341"/>
      <c r="O99" s="1631"/>
      <c r="P99" s="1631"/>
      <c r="AH99" s="1638">
        <v>0</v>
      </c>
    </row>
    <row s="1642" customFormat="1" customHeight="1" ht="18.75" hidden="1">
      <c r="A100" s="1786"/>
      <c r="B100" s="1786"/>
      <c r="C100" s="376" t="s">
        <v>1244</v>
      </c>
      <c r="D100" s="2482"/>
      <c r="E100" s="2224"/>
      <c r="F100" s="2403"/>
      <c r="G100" s="2447"/>
      <c r="H100" s="1507"/>
      <c r="I100" s="658" t="s">
        <v>1243</v>
      </c>
      <c r="J100" s="578"/>
      <c r="K100" s="1507"/>
      <c r="L100" s="221"/>
      <c r="M100" s="348"/>
      <c r="N100" s="341"/>
      <c r="O100" s="1631"/>
      <c r="P100" s="1631"/>
      <c r="AH100" s="1638">
        <v>0</v>
      </c>
    </row>
    <row s="1642" customFormat="1" customHeight="1" ht="0.75" hidden="1">
      <c r="A101" s="1786"/>
      <c r="B101" s="1786"/>
      <c r="C101" s="376" t="s">
        <v>1251</v>
      </c>
      <c r="D101" s="2482"/>
      <c r="E101" s="2224"/>
      <c r="F101" s="2403"/>
      <c r="G101" s="407"/>
      <c r="H101" s="1507"/>
      <c r="I101" s="658"/>
      <c r="J101" s="578"/>
      <c r="K101" s="1507"/>
      <c r="L101" s="221"/>
      <c r="M101" s="348"/>
      <c r="N101" s="341"/>
      <c r="O101" s="1631"/>
      <c r="P101" s="1631"/>
      <c r="AH101" s="1638">
        <v>0</v>
      </c>
    </row>
    <row s="1642" customFormat="1" customHeight="1" ht="18.75" hidden="1">
      <c r="A102" s="1786" t="s">
        <v>186</v>
      </c>
      <c r="B102" s="1786" t="s">
        <v>187</v>
      </c>
      <c r="C102" s="376"/>
      <c r="D102" s="2482"/>
      <c r="E102" s="2224"/>
      <c r="F102" s="2403" t="str">
        <f>INDEX(PT_DIFFERENTIATION_VTAR,MATCH(A102,PT_DIFFERENTIATION_VTAR_ID,0))</f>
        <v>Тарифы на услуги по передаче теплоносителя</v>
      </c>
      <c r="G102" s="2447" t="str">
        <f>INDEX(PT_DIFFERENTIATION_NTAR,MATCH(B102,PT_DIFFERENTIATION_NTAR_ID,0))</f>
        <v/>
      </c>
      <c r="H102" s="1866"/>
      <c r="I102" s="1745"/>
      <c r="J102" s="1779"/>
      <c r="K102" s="1784"/>
      <c r="L102" s="1866" t="s">
        <v>305</v>
      </c>
      <c r="M102" s="348"/>
      <c r="N102" s="341"/>
      <c r="O102" s="1631"/>
      <c r="P102" s="1631"/>
      <c r="AH102" s="1638">
        <v>0</v>
      </c>
    </row>
    <row s="1642" customFormat="1" customHeight="1" ht="18.75" hidden="1">
      <c r="A103" s="1786"/>
      <c r="B103" s="1786"/>
      <c r="C103" s="376" t="s">
        <v>1244</v>
      </c>
      <c r="D103" s="2482"/>
      <c r="E103" s="2224"/>
      <c r="F103" s="2403"/>
      <c r="G103" s="2447"/>
      <c r="H103" s="1507"/>
      <c r="I103" s="658" t="s">
        <v>1243</v>
      </c>
      <c r="J103" s="578"/>
      <c r="K103" s="1507"/>
      <c r="L103" s="221"/>
      <c r="M103" s="348"/>
      <c r="N103" s="341"/>
      <c r="O103" s="1631"/>
      <c r="P103" s="1631"/>
      <c r="AH103" s="1638">
        <v>0</v>
      </c>
    </row>
    <row s="1642" customFormat="1" customHeight="1" ht="0.75" hidden="1">
      <c r="A104" s="1786"/>
      <c r="B104" s="1786"/>
      <c r="C104" s="376" t="s">
        <v>1251</v>
      </c>
      <c r="D104" s="2482"/>
      <c r="E104" s="2224"/>
      <c r="F104" s="2403"/>
      <c r="G104" s="407"/>
      <c r="H104" s="1507"/>
      <c r="I104" s="658"/>
      <c r="J104" s="578"/>
      <c r="K104" s="1507"/>
      <c r="L104" s="221"/>
      <c r="M104" s="348"/>
      <c r="N104" s="341"/>
      <c r="O104" s="1631"/>
      <c r="P104" s="1631"/>
      <c r="AH104" s="1638">
        <v>0</v>
      </c>
    </row>
    <row s="1642" customFormat="1" customHeight="1" ht="18.75" hidden="1">
      <c r="A105" s="1786" t="s">
        <v>192</v>
      </c>
      <c r="B105" s="1786" t="s">
        <v>193</v>
      </c>
      <c r="C105" s="376"/>
      <c r="D105" s="2482"/>
      <c r="E105" s="2224"/>
      <c r="F105" s="24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7" t="str">
        <f>INDEX(PT_DIFFERENTIATION_NTAR,MATCH(B105,PT_DIFFERENTIATION_NTAR_ID,0))</f>
        <v/>
      </c>
      <c r="H105" s="1866"/>
      <c r="I105" s="1745"/>
      <c r="J105" s="1779"/>
      <c r="K105" s="1784"/>
      <c r="L105" s="1866" t="s">
        <v>305</v>
      </c>
      <c r="M105" s="348"/>
      <c r="N105" s="341"/>
      <c r="O105" s="1631"/>
      <c r="P105" s="1631"/>
      <c r="AH105" s="1638">
        <v>0</v>
      </c>
    </row>
    <row s="1642" customFormat="1" customHeight="1" ht="18.75" hidden="1">
      <c r="A106" s="1786"/>
      <c r="B106" s="1786"/>
      <c r="C106" s="376" t="s">
        <v>1244</v>
      </c>
      <c r="D106" s="2482"/>
      <c r="E106" s="2224"/>
      <c r="F106" s="2403"/>
      <c r="G106" s="2447"/>
      <c r="H106" s="1507"/>
      <c r="I106" s="658" t="s">
        <v>1243</v>
      </c>
      <c r="J106" s="578"/>
      <c r="K106" s="1507"/>
      <c r="L106" s="221"/>
      <c r="M106" s="348"/>
      <c r="N106" s="341"/>
      <c r="O106" s="1631"/>
      <c r="P106" s="1631"/>
      <c r="AH106" s="1638">
        <v>0</v>
      </c>
    </row>
    <row s="1642" customFormat="1" customHeight="1" ht="0.75" hidden="1">
      <c r="A107" s="1786"/>
      <c r="B107" s="1786"/>
      <c r="C107" s="376" t="s">
        <v>1251</v>
      </c>
      <c r="D107" s="2482"/>
      <c r="E107" s="2224"/>
      <c r="F107" s="2403"/>
      <c r="G107" s="407"/>
      <c r="H107" s="1507"/>
      <c r="I107" s="658"/>
      <c r="J107" s="578"/>
      <c r="K107" s="1507"/>
      <c r="L107" s="221"/>
      <c r="M107" s="348"/>
      <c r="N107" s="341"/>
      <c r="O107" s="1631"/>
      <c r="P107" s="1631"/>
      <c r="AH107" s="1638">
        <v>0</v>
      </c>
    </row>
    <row s="1642" customFormat="1" customHeight="1" ht="18.75" hidden="1">
      <c r="A108" s="1786" t="s">
        <v>198</v>
      </c>
      <c r="B108" s="1786" t="s">
        <v>199</v>
      </c>
      <c r="C108" s="376"/>
      <c r="D108" s="2482"/>
      <c r="E108" s="2224"/>
      <c r="F108" s="2403" t="str">
        <f>INDEX(PT_DIFFERENTIATION_VTAR,MATCH(A108,PT_DIFFERENTIATION_VTAR_ID,0))</f>
        <v>Плата за подключение (технологическое присоединение) к системе теплоснабжения</v>
      </c>
      <c r="G108" s="2447" t="str">
        <f>INDEX(PT_DIFFERENTIATION_NTAR,MATCH(B108,PT_DIFFERENTIATION_NTAR_ID,0))</f>
        <v/>
      </c>
      <c r="H108" s="1866"/>
      <c r="I108" s="1745"/>
      <c r="J108" s="1779"/>
      <c r="K108" s="1784"/>
      <c r="L108" s="1866" t="s">
        <v>305</v>
      </c>
      <c r="M108" s="348"/>
      <c r="N108" s="341"/>
      <c r="O108" s="1631"/>
      <c r="P108" s="1631"/>
      <c r="AH108" s="1638">
        <v>0</v>
      </c>
    </row>
    <row s="1642" customFormat="1" customHeight="1" ht="18.75" hidden="1">
      <c r="A109" s="1786"/>
      <c r="B109" s="1786"/>
      <c r="C109" s="376" t="s">
        <v>1244</v>
      </c>
      <c r="D109" s="2482"/>
      <c r="E109" s="2224"/>
      <c r="F109" s="2403"/>
      <c r="G109" s="2447"/>
      <c r="H109" s="1507"/>
      <c r="I109" s="658" t="s">
        <v>1243</v>
      </c>
      <c r="J109" s="578"/>
      <c r="K109" s="1507"/>
      <c r="L109" s="221"/>
      <c r="M109" s="348"/>
      <c r="N109" s="341"/>
      <c r="O109" s="1631"/>
      <c r="P109" s="1631"/>
      <c r="AH109" s="1638">
        <v>0</v>
      </c>
    </row>
    <row s="1642" customFormat="1" customHeight="1" ht="0.75" hidden="1">
      <c r="A110" s="1786"/>
      <c r="B110" s="1786"/>
      <c r="C110" s="376" t="s">
        <v>1251</v>
      </c>
      <c r="D110" s="2482"/>
      <c r="E110" s="2224"/>
      <c r="F110" s="2403"/>
      <c r="G110" s="407"/>
      <c r="H110" s="1507"/>
      <c r="I110" s="658"/>
      <c r="J110" s="578"/>
      <c r="K110" s="1507"/>
      <c r="L110" s="221"/>
      <c r="M110" s="348"/>
      <c r="N110" s="341"/>
      <c r="O110" s="1631"/>
      <c r="P110" s="1631"/>
      <c r="AH110" s="1638">
        <v>0</v>
      </c>
    </row>
    <row s="1642" customFormat="1" customHeight="1" ht="18.75" hidden="1">
      <c r="A111" s="1786" t="s">
        <v>204</v>
      </c>
      <c r="B111" s="1786" t="s">
        <v>205</v>
      </c>
      <c r="C111" s="376"/>
      <c r="D111" s="2482"/>
      <c r="E111" s="2224"/>
      <c r="F111" s="2403" t="str">
        <f>INDEX(PT_DIFFERENTIATION_VTAR,MATCH(A111,PT_DIFFERENTIATION_VTAR_ID,0))</f>
        <v>Плата за подключение (технологическое присоединение) к системе теплоснабжения (индивидуальная)</v>
      </c>
      <c r="G111" s="2447" t="str">
        <f>INDEX(PT_DIFFERENTIATION_NTAR,MATCH(B111,PT_DIFFERENTIATION_NTAR_ID,0))</f>
        <v/>
      </c>
      <c r="H111" s="1993"/>
      <c r="I111" s="1745"/>
      <c r="J111" s="1779"/>
      <c r="K111" s="1784"/>
      <c r="L111" s="1993" t="s">
        <v>305</v>
      </c>
      <c r="M111" s="348"/>
      <c r="N111" s="341"/>
      <c r="O111" s="1631"/>
      <c r="P111" s="1631"/>
      <c r="AH111" s="1638">
        <v>0</v>
      </c>
    </row>
    <row s="1642" customFormat="1" customHeight="1" ht="18.75" hidden="1">
      <c r="A112" s="1786"/>
      <c r="B112" s="1786"/>
      <c r="C112" s="376" t="s">
        <v>1244</v>
      </c>
      <c r="D112" s="2482"/>
      <c r="E112" s="2224"/>
      <c r="F112" s="2403"/>
      <c r="G112" s="2447"/>
      <c r="H112" s="1507"/>
      <c r="I112" s="658" t="s">
        <v>1243</v>
      </c>
      <c r="J112" s="578"/>
      <c r="K112" s="1507"/>
      <c r="L112" s="221"/>
      <c r="M112" s="348"/>
      <c r="N112" s="341"/>
      <c r="O112" s="1631"/>
      <c r="P112" s="1631"/>
      <c r="AH112" s="1638">
        <v>0</v>
      </c>
    </row>
    <row s="1642" customFormat="1" customHeight="1" ht="0.75" hidden="1">
      <c r="A113" s="1786"/>
      <c r="B113" s="1786"/>
      <c r="C113" s="376" t="s">
        <v>1251</v>
      </c>
      <c r="D113" s="2482"/>
      <c r="E113" s="2224"/>
      <c r="F113" s="2403"/>
      <c r="G113" s="407"/>
      <c r="H113" s="1507"/>
      <c r="I113" s="658"/>
      <c r="J113" s="578"/>
      <c r="K113" s="1507"/>
      <c r="L113" s="221"/>
      <c r="M113" s="348"/>
      <c r="N113" s="341"/>
      <c r="O113" s="1631"/>
      <c r="P113" s="1631"/>
      <c r="AH113" s="1638">
        <v>0</v>
      </c>
    </row>
    <row s="1642" customFormat="1" customHeight="1" ht="18.75" hidden="1">
      <c r="A114" s="1786" t="s">
        <v>224</v>
      </c>
      <c r="B114" s="1786" t="s">
        <v>225</v>
      </c>
      <c r="C114" s="376"/>
      <c r="D114" s="2482"/>
      <c r="E114" s="2224"/>
      <c r="F114" s="2403" t="str">
        <f>INDEX(PT_DIFFERENTIATION_VTAR,MATCH(A114,PT_DIFFERENTIATION_VTAR_ID,0))</f>
        <v>Тариф на питьевую воду (питьевое водоснабжение)</v>
      </c>
      <c r="G114" s="2447" t="str">
        <f>INDEX(PT_DIFFERENTIATION_NTAR,MATCH(B114,PT_DIFFERENTIATION_NTAR_ID,0))</f>
        <v/>
      </c>
      <c r="H114" s="1866"/>
      <c r="I114" s="1745"/>
      <c r="J114" s="1779"/>
      <c r="K114" s="1784"/>
      <c r="L114" s="1866" t="s">
        <v>305</v>
      </c>
      <c r="M114" s="348"/>
      <c r="N114" s="341"/>
      <c r="O114" s="1631"/>
      <c r="P114" s="1631"/>
      <c r="AH114" s="1638">
        <v>0</v>
      </c>
    </row>
    <row s="1642" customFormat="1" customHeight="1" ht="18.75" hidden="1">
      <c r="A115" s="1786"/>
      <c r="B115" s="1786"/>
      <c r="C115" s="376" t="s">
        <v>1244</v>
      </c>
      <c r="D115" s="2482"/>
      <c r="E115" s="2224"/>
      <c r="F115" s="2403"/>
      <c r="G115" s="2447"/>
      <c r="H115" s="1507"/>
      <c r="I115" s="658" t="s">
        <v>1243</v>
      </c>
      <c r="J115" s="578"/>
      <c r="K115" s="1507"/>
      <c r="L115" s="221"/>
      <c r="M115" s="348"/>
      <c r="N115" s="341"/>
      <c r="O115" s="1631"/>
      <c r="P115" s="1631"/>
      <c r="AH115" s="1638">
        <v>0</v>
      </c>
    </row>
    <row s="1642" customFormat="1" customHeight="1" ht="0.75" hidden="1">
      <c r="A116" s="1786"/>
      <c r="B116" s="1786"/>
      <c r="C116" s="376" t="s">
        <v>1251</v>
      </c>
      <c r="D116" s="2482"/>
      <c r="E116" s="2224"/>
      <c r="F116" s="2403"/>
      <c r="G116" s="407"/>
      <c r="H116" s="1507"/>
      <c r="I116" s="658"/>
      <c r="J116" s="578"/>
      <c r="K116" s="1507"/>
      <c r="L116" s="221"/>
      <c r="M116" s="348"/>
      <c r="N116" s="341"/>
      <c r="O116" s="1631"/>
      <c r="P116" s="1631"/>
      <c r="AH116" s="1638">
        <v>0</v>
      </c>
    </row>
    <row s="1642" customFormat="1" customHeight="1" ht="18.75" hidden="1">
      <c r="A117" s="1786" t="s">
        <v>229</v>
      </c>
      <c r="B117" s="1786" t="s">
        <v>230</v>
      </c>
      <c r="C117" s="376"/>
      <c r="D117" s="2482"/>
      <c r="E117" s="2224"/>
      <c r="F117" s="2403" t="str">
        <f>INDEX(PT_DIFFERENTIATION_VTAR,MATCH(A117,PT_DIFFERENTIATION_VTAR_ID,0))</f>
        <v>Тариф на техническую воду</v>
      </c>
      <c r="G117" s="2447" t="str">
        <f>INDEX(PT_DIFFERENTIATION_NTAR,MATCH(B117,PT_DIFFERENTIATION_NTAR_ID,0))</f>
        <v/>
      </c>
      <c r="H117" s="1866"/>
      <c r="I117" s="1745"/>
      <c r="J117" s="1779"/>
      <c r="K117" s="1784"/>
      <c r="L117" s="1866" t="s">
        <v>305</v>
      </c>
      <c r="M117" s="348"/>
      <c r="N117" s="341"/>
      <c r="O117" s="1631"/>
      <c r="P117" s="1631"/>
      <c r="AH117" s="1638">
        <v>0</v>
      </c>
    </row>
    <row s="1642" customFormat="1" customHeight="1" ht="18.75" hidden="1">
      <c r="A118" s="1786"/>
      <c r="B118" s="1786"/>
      <c r="C118" s="376" t="s">
        <v>1244</v>
      </c>
      <c r="D118" s="2482"/>
      <c r="E118" s="2224"/>
      <c r="F118" s="2403"/>
      <c r="G118" s="2447"/>
      <c r="H118" s="1507"/>
      <c r="I118" s="658" t="s">
        <v>1243</v>
      </c>
      <c r="J118" s="578"/>
      <c r="K118" s="1507"/>
      <c r="L118" s="221"/>
      <c r="M118" s="348"/>
      <c r="N118" s="341"/>
      <c r="O118" s="1631"/>
      <c r="P118" s="1631"/>
      <c r="AH118" s="1638">
        <v>0</v>
      </c>
    </row>
    <row s="1642" customFormat="1" customHeight="1" ht="0.75" hidden="1">
      <c r="A119" s="1786"/>
      <c r="B119" s="1786"/>
      <c r="C119" s="376" t="s">
        <v>1251</v>
      </c>
      <c r="D119" s="2482"/>
      <c r="E119" s="2224"/>
      <c r="F119" s="2403"/>
      <c r="G119" s="407"/>
      <c r="H119" s="1507"/>
      <c r="I119" s="658"/>
      <c r="J119" s="578"/>
      <c r="K119" s="1507"/>
      <c r="L119" s="221"/>
      <c r="M119" s="348"/>
      <c r="N119" s="341"/>
      <c r="O119" s="1631"/>
      <c r="P119" s="1631"/>
      <c r="AH119" s="1638">
        <v>0</v>
      </c>
    </row>
    <row s="1642" customFormat="1" customHeight="1" ht="18.75" hidden="1">
      <c r="A120" s="1786" t="s">
        <v>234</v>
      </c>
      <c r="B120" s="1786" t="s">
        <v>235</v>
      </c>
      <c r="C120" s="376"/>
      <c r="D120" s="2482"/>
      <c r="E120" s="2224"/>
      <c r="F120" s="2403" t="str">
        <f>INDEX(PT_DIFFERENTIATION_VTAR,MATCH(A120,PT_DIFFERENTIATION_VTAR_ID,0))</f>
        <v>Тариф на транспортировку воды</v>
      </c>
      <c r="G120" s="2447" t="str">
        <f>INDEX(PT_DIFFERENTIATION_NTAR,MATCH(B120,PT_DIFFERENTIATION_NTAR_ID,0))</f>
        <v/>
      </c>
      <c r="H120" s="1866"/>
      <c r="I120" s="1745"/>
      <c r="J120" s="1779"/>
      <c r="K120" s="1784"/>
      <c r="L120" s="1866" t="s">
        <v>305</v>
      </c>
      <c r="M120" s="348"/>
      <c r="N120" s="341"/>
      <c r="O120" s="1631"/>
      <c r="P120" s="1631"/>
      <c r="AH120" s="1638">
        <v>0</v>
      </c>
    </row>
    <row s="1642" customFormat="1" customHeight="1" ht="18.75" hidden="1">
      <c r="A121" s="1786"/>
      <c r="B121" s="1786"/>
      <c r="C121" s="376" t="s">
        <v>1244</v>
      </c>
      <c r="D121" s="2482"/>
      <c r="E121" s="2224"/>
      <c r="F121" s="2403"/>
      <c r="G121" s="2447"/>
      <c r="H121" s="1507"/>
      <c r="I121" s="658" t="s">
        <v>1243</v>
      </c>
      <c r="J121" s="578"/>
      <c r="K121" s="1507"/>
      <c r="L121" s="221"/>
      <c r="M121" s="348"/>
      <c r="N121" s="341"/>
      <c r="O121" s="1631"/>
      <c r="P121" s="1631"/>
      <c r="AH121" s="1638">
        <v>0</v>
      </c>
    </row>
    <row s="1642" customFormat="1" customHeight="1" ht="0.75" hidden="1">
      <c r="A122" s="1786"/>
      <c r="B122" s="1786"/>
      <c r="C122" s="376" t="s">
        <v>1251</v>
      </c>
      <c r="D122" s="2482"/>
      <c r="E122" s="2224"/>
      <c r="F122" s="2403"/>
      <c r="G122" s="407"/>
      <c r="H122" s="1507"/>
      <c r="I122" s="658"/>
      <c r="J122" s="578"/>
      <c r="K122" s="1507"/>
      <c r="L122" s="221"/>
      <c r="M122" s="348"/>
      <c r="N122" s="341"/>
      <c r="O122" s="1631"/>
      <c r="P122" s="1631"/>
      <c r="AH122" s="1638">
        <v>0</v>
      </c>
    </row>
    <row s="1642" customFormat="1" customHeight="1" ht="18.75" hidden="1">
      <c r="A123" s="1786" t="s">
        <v>239</v>
      </c>
      <c r="B123" s="1786" t="s">
        <v>240</v>
      </c>
      <c r="C123" s="376"/>
      <c r="D123" s="2482"/>
      <c r="E123" s="2224"/>
      <c r="F123" s="2403" t="str">
        <f>INDEX(PT_DIFFERENTIATION_VTAR,MATCH(A123,PT_DIFFERENTIATION_VTAR_ID,0))</f>
        <v>Тариф на подвоз воды</v>
      </c>
      <c r="G123" s="2447" t="str">
        <f>INDEX(PT_DIFFERENTIATION_NTAR,MATCH(B123,PT_DIFFERENTIATION_NTAR_ID,0))</f>
        <v/>
      </c>
      <c r="H123" s="1866"/>
      <c r="I123" s="1745"/>
      <c r="J123" s="1779"/>
      <c r="K123" s="1784"/>
      <c r="L123" s="1866" t="s">
        <v>305</v>
      </c>
      <c r="M123" s="348"/>
      <c r="N123" s="341"/>
      <c r="O123" s="1631"/>
      <c r="P123" s="1631"/>
      <c r="AH123" s="1638">
        <v>0</v>
      </c>
    </row>
    <row s="1642" customFormat="1" customHeight="1" ht="18.75" hidden="1">
      <c r="A124" s="1786"/>
      <c r="B124" s="1786"/>
      <c r="C124" s="376" t="s">
        <v>1244</v>
      </c>
      <c r="D124" s="2482"/>
      <c r="E124" s="2224"/>
      <c r="F124" s="2403"/>
      <c r="G124" s="2447"/>
      <c r="H124" s="1507"/>
      <c r="I124" s="658" t="s">
        <v>1243</v>
      </c>
      <c r="J124" s="578"/>
      <c r="K124" s="1507"/>
      <c r="L124" s="221"/>
      <c r="M124" s="348"/>
      <c r="N124" s="341"/>
      <c r="O124" s="1631"/>
      <c r="P124" s="1631"/>
      <c r="AH124" s="1638">
        <v>0</v>
      </c>
    </row>
    <row s="1642" customFormat="1" customHeight="1" ht="0.75" hidden="1">
      <c r="A125" s="1786"/>
      <c r="B125" s="1786"/>
      <c r="C125" s="376" t="s">
        <v>1251</v>
      </c>
      <c r="D125" s="2482"/>
      <c r="E125" s="2224"/>
      <c r="F125" s="2403"/>
      <c r="G125" s="407"/>
      <c r="H125" s="1507"/>
      <c r="I125" s="658"/>
      <c r="J125" s="578"/>
      <c r="K125" s="1507"/>
      <c r="L125" s="221"/>
      <c r="M125" s="348"/>
      <c r="N125" s="341"/>
      <c r="O125" s="1631"/>
      <c r="P125" s="1631"/>
      <c r="AH125" s="1638">
        <v>0</v>
      </c>
    </row>
    <row s="1642" customFormat="1" customHeight="1" ht="18.75" hidden="1">
      <c r="A126" s="1786" t="s">
        <v>244</v>
      </c>
      <c r="B126" s="1786" t="s">
        <v>245</v>
      </c>
      <c r="C126" s="376"/>
      <c r="D126" s="2482"/>
      <c r="E126" s="2224"/>
      <c r="F126" s="24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7" t="str">
        <f>INDEX(PT_DIFFERENTIATION_NTAR,MATCH(B126,PT_DIFFERENTIATION_NTAR_ID,0))</f>
        <v/>
      </c>
      <c r="H126" s="1866"/>
      <c r="I126" s="1745"/>
      <c r="J126" s="1779"/>
      <c r="K126" s="1784"/>
      <c r="L126" s="1866" t="s">
        <v>305</v>
      </c>
      <c r="M126" s="348"/>
      <c r="N126" s="341"/>
      <c r="O126" s="1631"/>
      <c r="P126" s="1631"/>
      <c r="AH126" s="1638">
        <v>0</v>
      </c>
    </row>
    <row s="1642" customFormat="1" customHeight="1" ht="18.75" hidden="1">
      <c r="A127" s="1786"/>
      <c r="B127" s="1786"/>
      <c r="C127" s="376" t="s">
        <v>1244</v>
      </c>
      <c r="D127" s="2482"/>
      <c r="E127" s="2224"/>
      <c r="F127" s="2403"/>
      <c r="G127" s="2447"/>
      <c r="H127" s="1507"/>
      <c r="I127" s="658" t="s">
        <v>1243</v>
      </c>
      <c r="J127" s="578"/>
      <c r="K127" s="1507"/>
      <c r="L127" s="221"/>
      <c r="M127" s="348"/>
      <c r="N127" s="341"/>
      <c r="O127" s="1631"/>
      <c r="P127" s="1631"/>
      <c r="AH127" s="1638">
        <v>0</v>
      </c>
    </row>
    <row s="1642" customFormat="1" customHeight="1" ht="0.75" hidden="1">
      <c r="A128" s="1786"/>
      <c r="B128" s="1786"/>
      <c r="C128" s="376" t="s">
        <v>1251</v>
      </c>
      <c r="D128" s="2482"/>
      <c r="E128" s="2224"/>
      <c r="F128" s="2403"/>
      <c r="G128" s="407"/>
      <c r="H128" s="1507"/>
      <c r="I128" s="658"/>
      <c r="J128" s="578"/>
      <c r="K128" s="1507"/>
      <c r="L128" s="221"/>
      <c r="M128" s="348"/>
      <c r="N128" s="341"/>
      <c r="O128" s="1631"/>
      <c r="P128" s="1631"/>
      <c r="AH128" s="1638">
        <v>0</v>
      </c>
    </row>
    <row s="1642" customFormat="1" customHeight="1" ht="18.75" hidden="1">
      <c r="A129" s="1786" t="s">
        <v>249</v>
      </c>
      <c r="B129" s="1786" t="s">
        <v>250</v>
      </c>
      <c r="C129" s="376"/>
      <c r="D129" s="2482"/>
      <c r="E129" s="2224"/>
      <c r="F129" s="2403" t="str">
        <f>INDEX(PT_DIFFERENTIATION_VTAR,MATCH(A129,PT_DIFFERENTIATION_VTAR_ID,0))</f>
        <v>Тариф на горячую воду (горячее водоснабжение)</v>
      </c>
      <c r="G129" s="2447" t="str">
        <f>INDEX(PT_DIFFERENTIATION_NTAR,MATCH(B129,PT_DIFFERENTIATION_NTAR_ID,0))</f>
        <v/>
      </c>
      <c r="H129" s="1866"/>
      <c r="I129" s="1745"/>
      <c r="J129" s="1779"/>
      <c r="K129" s="1784"/>
      <c r="L129" s="1866" t="s">
        <v>305</v>
      </c>
      <c r="M129" s="348"/>
      <c r="N129" s="341"/>
      <c r="O129" s="1631"/>
      <c r="P129" s="1631"/>
      <c r="AH129" s="1638">
        <v>0</v>
      </c>
    </row>
    <row s="1642" customFormat="1" customHeight="1" ht="18.75" hidden="1">
      <c r="A130" s="1786"/>
      <c r="B130" s="1786"/>
      <c r="C130" s="376" t="s">
        <v>1244</v>
      </c>
      <c r="D130" s="2482"/>
      <c r="E130" s="2224"/>
      <c r="F130" s="2403"/>
      <c r="G130" s="2447"/>
      <c r="H130" s="1507"/>
      <c r="I130" s="658" t="s">
        <v>1243</v>
      </c>
      <c r="J130" s="578"/>
      <c r="K130" s="1507"/>
      <c r="L130" s="221"/>
      <c r="M130" s="348"/>
      <c r="N130" s="341"/>
      <c r="O130" s="1631"/>
      <c r="P130" s="1631"/>
      <c r="AH130" s="1638">
        <v>0</v>
      </c>
    </row>
    <row s="1642" customFormat="1" customHeight="1" ht="0.75" hidden="1">
      <c r="A131" s="1786"/>
      <c r="B131" s="1786"/>
      <c r="C131" s="376" t="s">
        <v>1251</v>
      </c>
      <c r="D131" s="2482"/>
      <c r="E131" s="2224"/>
      <c r="F131" s="2403"/>
      <c r="G131" s="407"/>
      <c r="H131" s="1507"/>
      <c r="I131" s="658"/>
      <c r="J131" s="578"/>
      <c r="K131" s="1507"/>
      <c r="L131" s="221"/>
      <c r="M131" s="348"/>
      <c r="N131" s="341"/>
      <c r="O131" s="1631"/>
      <c r="P131" s="1631"/>
      <c r="AH131" s="1638">
        <v>0</v>
      </c>
    </row>
    <row s="1642" customFormat="1" customHeight="1" ht="18.75" hidden="1">
      <c r="A132" s="1786" t="s">
        <v>254</v>
      </c>
      <c r="B132" s="1786" t="s">
        <v>255</v>
      </c>
      <c r="C132" s="376"/>
      <c r="D132" s="2482"/>
      <c r="E132" s="2224"/>
      <c r="F132" s="2403" t="str">
        <f>INDEX(PT_DIFFERENTIATION_VTAR,MATCH(A132,PT_DIFFERENTIATION_VTAR_ID,0))</f>
        <v>Тариф на транспортировку горячей воды</v>
      </c>
      <c r="G132" s="2447" t="str">
        <f>INDEX(PT_DIFFERENTIATION_NTAR,MATCH(B132,PT_DIFFERENTIATION_NTAR_ID,0))</f>
        <v/>
      </c>
      <c r="H132" s="1866"/>
      <c r="I132" s="1745"/>
      <c r="J132" s="1779"/>
      <c r="K132" s="1784"/>
      <c r="L132" s="1866" t="s">
        <v>305</v>
      </c>
      <c r="M132" s="348"/>
      <c r="N132" s="341"/>
      <c r="O132" s="1631"/>
      <c r="P132" s="1631"/>
      <c r="AH132" s="1638">
        <v>0</v>
      </c>
    </row>
    <row s="1642" customFormat="1" customHeight="1" ht="18.75" hidden="1">
      <c r="A133" s="1786"/>
      <c r="B133" s="1786"/>
      <c r="C133" s="376" t="s">
        <v>1244</v>
      </c>
      <c r="D133" s="2482"/>
      <c r="E133" s="2224"/>
      <c r="F133" s="2403"/>
      <c r="G133" s="2447"/>
      <c r="H133" s="1507"/>
      <c r="I133" s="658" t="s">
        <v>1243</v>
      </c>
      <c r="J133" s="578"/>
      <c r="K133" s="1507"/>
      <c r="L133" s="221"/>
      <c r="M133" s="348"/>
      <c r="N133" s="341"/>
      <c r="O133" s="1631"/>
      <c r="P133" s="1631"/>
      <c r="AH133" s="1638">
        <v>0</v>
      </c>
    </row>
    <row s="1642" customFormat="1" customHeight="1" ht="0.75" hidden="1">
      <c r="A134" s="1786"/>
      <c r="B134" s="1786"/>
      <c r="C134" s="376" t="s">
        <v>1251</v>
      </c>
      <c r="D134" s="2482"/>
      <c r="E134" s="2224"/>
      <c r="F134" s="2403"/>
      <c r="G134" s="407"/>
      <c r="H134" s="1507"/>
      <c r="I134" s="658"/>
      <c r="J134" s="578"/>
      <c r="K134" s="1507"/>
      <c r="L134" s="221"/>
      <c r="M134" s="348"/>
      <c r="N134" s="341"/>
      <c r="O134" s="1631"/>
      <c r="P134" s="1631"/>
      <c r="AH134" s="1638">
        <v>0</v>
      </c>
    </row>
    <row s="1642" customFormat="1" customHeight="1" ht="18.75" hidden="1">
      <c r="A135" s="1786" t="s">
        <v>259</v>
      </c>
      <c r="B135" s="1786" t="s">
        <v>260</v>
      </c>
      <c r="C135" s="376"/>
      <c r="D135" s="2482"/>
      <c r="E135" s="2224"/>
      <c r="F135" s="24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7" t="str">
        <f>INDEX(PT_DIFFERENTIATION_NTAR,MATCH(B135,PT_DIFFERENTIATION_NTAR_ID,0))</f>
        <v/>
      </c>
      <c r="H135" s="1866"/>
      <c r="I135" s="1745"/>
      <c r="J135" s="1779"/>
      <c r="K135" s="1784"/>
      <c r="L135" s="1866" t="s">
        <v>305</v>
      </c>
      <c r="M135" s="348"/>
      <c r="N135" s="341"/>
      <c r="O135" s="1631"/>
      <c r="P135" s="1631"/>
      <c r="AH135" s="1638">
        <v>0</v>
      </c>
    </row>
    <row s="1642" customFormat="1" customHeight="1" ht="18.75" hidden="1">
      <c r="A136" s="1786"/>
      <c r="B136" s="1786"/>
      <c r="C136" s="376" t="s">
        <v>1244</v>
      </c>
      <c r="D136" s="2482"/>
      <c r="E136" s="2224"/>
      <c r="F136" s="2403"/>
      <c r="G136" s="2447"/>
      <c r="H136" s="1507"/>
      <c r="I136" s="658" t="s">
        <v>1243</v>
      </c>
      <c r="J136" s="578"/>
      <c r="K136" s="1507"/>
      <c r="L136" s="221"/>
      <c r="M136" s="348"/>
      <c r="N136" s="341"/>
      <c r="O136" s="1631"/>
      <c r="P136" s="1631"/>
      <c r="AH136" s="1638">
        <v>0</v>
      </c>
    </row>
    <row s="1642" customFormat="1" customHeight="1" ht="0.75" hidden="1">
      <c r="A137" s="1786"/>
      <c r="B137" s="1786"/>
      <c r="C137" s="376" t="s">
        <v>1251</v>
      </c>
      <c r="D137" s="2482"/>
      <c r="E137" s="2224"/>
      <c r="F137" s="2403"/>
      <c r="G137" s="407"/>
      <c r="H137" s="1507"/>
      <c r="I137" s="658"/>
      <c r="J137" s="578"/>
      <c r="K137" s="1507"/>
      <c r="L137" s="221"/>
      <c r="M137" s="348"/>
      <c r="N137" s="341"/>
      <c r="O137" s="1631"/>
      <c r="P137" s="1631"/>
      <c r="AH137" s="1638">
        <v>0</v>
      </c>
    </row>
    <row s="1642" customFormat="1" customHeight="1" ht="18.75" hidden="1">
      <c r="A138" s="1786" t="s">
        <v>264</v>
      </c>
      <c r="B138" s="1786" t="s">
        <v>265</v>
      </c>
      <c r="C138" s="376"/>
      <c r="D138" s="2482"/>
      <c r="E138" s="2224"/>
      <c r="F138" s="2403" t="str">
        <f>INDEX(PT_DIFFERENTIATION_VTAR,MATCH(A138,PT_DIFFERENTIATION_VTAR_ID,0))</f>
        <v>Тариф на водоотведение</v>
      </c>
      <c r="G138" s="2447" t="str">
        <f>INDEX(PT_DIFFERENTIATION_NTAR,MATCH(B138,PT_DIFFERENTIATION_NTAR_ID,0))</f>
        <v/>
      </c>
      <c r="H138" s="1866"/>
      <c r="I138" s="1745"/>
      <c r="J138" s="1779"/>
      <c r="K138" s="1784"/>
      <c r="L138" s="1866" t="s">
        <v>305</v>
      </c>
      <c r="M138" s="348"/>
      <c r="N138" s="341"/>
      <c r="O138" s="1631"/>
      <c r="P138" s="1631"/>
      <c r="AH138" s="1638">
        <v>0</v>
      </c>
    </row>
    <row s="1642" customFormat="1" customHeight="1" ht="18.75" hidden="1">
      <c r="A139" s="1786"/>
      <c r="B139" s="1786"/>
      <c r="C139" s="376" t="s">
        <v>1244</v>
      </c>
      <c r="D139" s="2482"/>
      <c r="E139" s="2224"/>
      <c r="F139" s="2403"/>
      <c r="G139" s="2447"/>
      <c r="H139" s="1507"/>
      <c r="I139" s="658" t="s">
        <v>1243</v>
      </c>
      <c r="J139" s="578"/>
      <c r="K139" s="1507"/>
      <c r="L139" s="221"/>
      <c r="M139" s="348"/>
      <c r="N139" s="341"/>
      <c r="O139" s="1631"/>
      <c r="P139" s="1631"/>
      <c r="AH139" s="1638">
        <v>0</v>
      </c>
    </row>
    <row s="1642" customFormat="1" customHeight="1" ht="0.75" hidden="1">
      <c r="A140" s="1786"/>
      <c r="B140" s="1786"/>
      <c r="C140" s="376" t="s">
        <v>1251</v>
      </c>
      <c r="D140" s="2482"/>
      <c r="E140" s="2224"/>
      <c r="F140" s="2403"/>
      <c r="G140" s="407"/>
      <c r="H140" s="1507"/>
      <c r="I140" s="658"/>
      <c r="J140" s="578"/>
      <c r="K140" s="1507"/>
      <c r="L140" s="221"/>
      <c r="M140" s="348"/>
      <c r="N140" s="341"/>
      <c r="O140" s="1631"/>
      <c r="P140" s="1631"/>
      <c r="AH140" s="1638">
        <v>0</v>
      </c>
    </row>
    <row s="1642" customFormat="1" customHeight="1" ht="18.75" hidden="1">
      <c r="A141" s="1786" t="s">
        <v>269</v>
      </c>
      <c r="B141" s="1786" t="s">
        <v>270</v>
      </c>
      <c r="C141" s="376"/>
      <c r="D141" s="2482"/>
      <c r="E141" s="2224"/>
      <c r="F141" s="2403" t="str">
        <f>INDEX(PT_DIFFERENTIATION_VTAR,MATCH(A141,PT_DIFFERENTIATION_VTAR_ID,0))</f>
        <v>Тариф на транспортировку сточных вод</v>
      </c>
      <c r="G141" s="2447" t="str">
        <f>INDEX(PT_DIFFERENTIATION_NTAR,MATCH(B141,PT_DIFFERENTIATION_NTAR_ID,0))</f>
        <v/>
      </c>
      <c r="H141" s="1866"/>
      <c r="I141" s="1745"/>
      <c r="J141" s="1779"/>
      <c r="K141" s="1784"/>
      <c r="L141" s="1866" t="s">
        <v>305</v>
      </c>
      <c r="M141" s="348"/>
      <c r="N141" s="341"/>
      <c r="O141" s="1631"/>
      <c r="P141" s="1631"/>
      <c r="AH141" s="1638">
        <v>0</v>
      </c>
    </row>
    <row s="1642" customFormat="1" customHeight="1" ht="18.75" hidden="1">
      <c r="A142" s="1786"/>
      <c r="B142" s="1786"/>
      <c r="C142" s="376" t="s">
        <v>1244</v>
      </c>
      <c r="D142" s="2482"/>
      <c r="E142" s="2224"/>
      <c r="F142" s="2403"/>
      <c r="G142" s="2447"/>
      <c r="H142" s="1507"/>
      <c r="I142" s="658" t="s">
        <v>1243</v>
      </c>
      <c r="J142" s="578"/>
      <c r="K142" s="1507"/>
      <c r="L142" s="221"/>
      <c r="M142" s="348"/>
      <c r="N142" s="341"/>
      <c r="O142" s="1631"/>
      <c r="P142" s="1631"/>
      <c r="AH142" s="1638">
        <v>0</v>
      </c>
    </row>
    <row s="1642" customFormat="1" customHeight="1" ht="0.75" hidden="1">
      <c r="A143" s="1786"/>
      <c r="B143" s="1786"/>
      <c r="C143" s="376" t="s">
        <v>1251</v>
      </c>
      <c r="D143" s="2482"/>
      <c r="E143" s="2224"/>
      <c r="F143" s="2403"/>
      <c r="G143" s="407"/>
      <c r="H143" s="1507"/>
      <c r="I143" s="658"/>
      <c r="J143" s="578"/>
      <c r="K143" s="1507"/>
      <c r="L143" s="221"/>
      <c r="M143" s="348"/>
      <c r="N143" s="341"/>
      <c r="O143" s="1631"/>
      <c r="P143" s="1631"/>
      <c r="AH143" s="1638">
        <v>0</v>
      </c>
    </row>
    <row s="1642" customFormat="1" customHeight="1" ht="18.75" hidden="1">
      <c r="A144" s="1786" t="s">
        <v>274</v>
      </c>
      <c r="B144" s="1786" t="s">
        <v>275</v>
      </c>
      <c r="C144" s="376"/>
      <c r="D144" s="2482"/>
      <c r="E144" s="2224"/>
      <c r="F144" s="2403" t="str">
        <f>INDEX(PT_DIFFERENTIATION_VTAR,MATCH(A144,PT_DIFFERENTIATION_VTAR_ID,0))</f>
        <v>Тариф на подключение (технологическое присоединение) к централизованной системе водоотведения</v>
      </c>
      <c r="G144" s="2447" t="str">
        <f>INDEX(PT_DIFFERENTIATION_NTAR,MATCH(B144,PT_DIFFERENTIATION_NTAR_ID,0))</f>
        <v/>
      </c>
      <c r="H144" s="1866"/>
      <c r="I144" s="1745"/>
      <c r="J144" s="1779"/>
      <c r="K144" s="1784"/>
      <c r="L144" s="1866" t="s">
        <v>305</v>
      </c>
      <c r="M144" s="348"/>
      <c r="N144" s="341"/>
      <c r="O144" s="1631"/>
      <c r="P144" s="1631"/>
      <c r="AH144" s="1638">
        <v>0</v>
      </c>
    </row>
    <row s="1642" customFormat="1" customHeight="1" ht="18.75" hidden="1">
      <c r="A145" s="1786"/>
      <c r="B145" s="1786"/>
      <c r="C145" s="376" t="s">
        <v>1244</v>
      </c>
      <c r="D145" s="2482"/>
      <c r="E145" s="2224"/>
      <c r="F145" s="2403"/>
      <c r="G145" s="2447"/>
      <c r="H145" s="1507"/>
      <c r="I145" s="658" t="s">
        <v>1243</v>
      </c>
      <c r="J145" s="578"/>
      <c r="K145" s="1507"/>
      <c r="L145" s="221"/>
      <c r="M145" s="348"/>
      <c r="N145" s="341"/>
      <c r="O145" s="1631"/>
      <c r="P145" s="1631"/>
      <c r="AH145" s="1638">
        <v>0</v>
      </c>
    </row>
    <row s="1642" customFormat="1" customHeight="1" ht="1.05">
      <c r="A146" s="1786"/>
      <c r="B146" s="1786"/>
      <c r="C146" s="376" t="s">
        <v>1251</v>
      </c>
      <c r="D146" s="2482"/>
      <c r="E146" s="2224"/>
      <c r="F146" s="2403"/>
      <c r="G146" s="407"/>
      <c r="H146" s="1507"/>
      <c r="I146" s="658"/>
      <c r="J146" s="578"/>
      <c r="K146" s="1507"/>
      <c r="L146" s="221"/>
      <c r="M146" s="348"/>
      <c r="N146" s="341"/>
      <c r="O146" s="1631"/>
      <c r="P146" s="1631"/>
      <c r="AH146" s="1638">
        <v>1</v>
      </c>
    </row>
    <row customHeight="1" ht="19.95">
      <c r="A147" s="1786"/>
      <c r="B147" s="1786"/>
      <c r="D147" s="383"/>
      <c r="E147" s="154" t="s">
        <v>90</v>
      </c>
      <c r="F147" s="24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80"/>
      <c r="H147" s="2480"/>
      <c r="I147" s="2480"/>
      <c r="J147" s="2480"/>
      <c r="K147" s="2480"/>
      <c r="L147" s="2480"/>
      <c r="M147" s="304"/>
      <c r="N147" s="341"/>
      <c r="AH147" s="381">
        <v>19</v>
      </c>
    </row>
    <row s="1642" customFormat="1" customHeight="1" ht="60.75" hidden="1">
      <c r="A148" s="1786" t="s">
        <v>156</v>
      </c>
      <c r="B148" s="1786" t="s">
        <v>157</v>
      </c>
      <c r="C148" s="376"/>
      <c r="D148" s="2482"/>
      <c r="E148" s="2224"/>
      <c r="F148" s="24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7" t="str">
        <f>INDEX(PT_DIFFERENTIATION_NTAR,MATCH(B148,PT_DIFFERENTIATION_NTAR_ID,0))</f>
        <v/>
      </c>
      <c r="H148" s="1866"/>
      <c r="I148" s="1745"/>
      <c r="J148" s="1779"/>
      <c r="K148" s="1784"/>
      <c r="L148" s="1866" t="s">
        <v>305</v>
      </c>
      <c r="M148"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6"/>
      <c r="B149" s="1786"/>
      <c r="C149" s="376" t="s">
        <v>1244</v>
      </c>
      <c r="D149" s="2482"/>
      <c r="E149" s="2224"/>
      <c r="F149" s="2403"/>
      <c r="G149" s="2447"/>
      <c r="H149" s="1507"/>
      <c r="I149" s="658" t="s">
        <v>1243</v>
      </c>
      <c r="J149" s="578"/>
      <c r="K149" s="1507"/>
      <c r="L149" s="221"/>
      <c r="M149" s="2190"/>
      <c r="N149" s="341"/>
      <c r="O149" s="1631"/>
      <c r="P149" s="1631"/>
      <c r="AH149" s="1638">
        <v>0</v>
      </c>
    </row>
    <row s="1642" customFormat="1" customHeight="1" ht="0.75" hidden="1">
      <c r="A150" s="1786"/>
      <c r="B150" s="1786"/>
      <c r="C150" s="376" t="s">
        <v>1251</v>
      </c>
      <c r="D150" s="2482"/>
      <c r="E150" s="2224"/>
      <c r="F150" s="2403"/>
      <c r="G150" s="407"/>
      <c r="H150" s="1507"/>
      <c r="I150" s="658"/>
      <c r="J150" s="578"/>
      <c r="K150" s="1507"/>
      <c r="L150" s="221"/>
      <c r="M150" s="2190"/>
      <c r="N150" s="341"/>
      <c r="O150" s="1631"/>
      <c r="P150" s="1631"/>
      <c r="AH150" s="1638">
        <v>0</v>
      </c>
    </row>
    <row s="1642" customFormat="1" customHeight="1" ht="45" hidden="1">
      <c r="A151" s="1786" t="s">
        <v>161</v>
      </c>
      <c r="B151" s="1786" t="s">
        <v>162</v>
      </c>
      <c r="C151" s="376"/>
      <c r="D151" s="2482"/>
      <c r="E151" s="2224"/>
      <c r="F151" s="2403" t="str">
        <f>INDEX(PT_DIFFERENTIATION_VTAR,MATCH(A151,PT_DIFFERENTIATION_VTAR_ID,0))</f>
        <v/>
      </c>
      <c r="G151" s="2447" t="str">
        <f>INDEX(PT_DIFFERENTIATION_NTAR,MATCH(B151,PT_DIFFERENTIATION_NTAR_ID,0))</f>
        <v/>
      </c>
      <c r="H151" s="1866"/>
      <c r="I151" s="1745"/>
      <c r="J151" s="1779"/>
      <c r="K151" s="1784"/>
      <c r="L151" s="1866" t="s">
        <v>305</v>
      </c>
      <c r="M151" s="2191"/>
      <c r="N151" s="341"/>
      <c r="O151" s="1631"/>
      <c r="P151" s="1631"/>
      <c r="AH151" s="1638">
        <v>0</v>
      </c>
    </row>
    <row s="1642" customFormat="1" customHeight="1" ht="18.75" hidden="1">
      <c r="A152" s="1786"/>
      <c r="B152" s="1786"/>
      <c r="C152" s="376" t="s">
        <v>1244</v>
      </c>
      <c r="D152" s="2482"/>
      <c r="E152" s="2224"/>
      <c r="F152" s="2403"/>
      <c r="G152" s="2447"/>
      <c r="H152" s="1507"/>
      <c r="I152" s="658" t="s">
        <v>1243</v>
      </c>
      <c r="J152" s="578"/>
      <c r="K152" s="1507"/>
      <c r="L152" s="221"/>
      <c r="M152" s="1865"/>
      <c r="N152" s="341"/>
      <c r="O152" s="1631"/>
      <c r="P152" s="1631"/>
      <c r="AH152" s="1638">
        <v>0</v>
      </c>
    </row>
    <row s="1642" customFormat="1" customHeight="1" ht="0.75" hidden="1">
      <c r="A153" s="1786"/>
      <c r="B153" s="1786"/>
      <c r="C153" s="376" t="s">
        <v>1251</v>
      </c>
      <c r="D153" s="2482"/>
      <c r="E153" s="2224"/>
      <c r="F153" s="2403"/>
      <c r="G153" s="407"/>
      <c r="H153" s="1507"/>
      <c r="I153" s="658"/>
      <c r="J153" s="578"/>
      <c r="K153" s="1507"/>
      <c r="L153" s="221"/>
      <c r="M153" s="348"/>
      <c r="N153" s="341"/>
      <c r="O153" s="1631"/>
      <c r="P153" s="1631"/>
      <c r="AH153" s="1638">
        <v>0</v>
      </c>
    </row>
    <row s="1642" customFormat="1" customHeight="1" ht="45" hidden="1">
      <c r="A154" s="1786" t="s">
        <v>168</v>
      </c>
      <c r="B154" s="1786" t="s">
        <v>169</v>
      </c>
      <c r="C154" s="376"/>
      <c r="D154" s="2482"/>
      <c r="E154" s="2224"/>
      <c r="F154" s="24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7" t="str">
        <f>INDEX(PT_DIFFERENTIATION_NTAR,MATCH(B154,PT_DIFFERENTIATION_NTAR_ID,0))</f>
        <v/>
      </c>
      <c r="H154" s="1866"/>
      <c r="I154" s="1745"/>
      <c r="J154" s="1779"/>
      <c r="K154" s="1784"/>
      <c r="L154" s="1866" t="s">
        <v>305</v>
      </c>
      <c r="M154" s="348"/>
      <c r="N154" s="341"/>
      <c r="O154" s="1631"/>
      <c r="P154" s="1631"/>
      <c r="AH154" s="1638">
        <v>0</v>
      </c>
    </row>
    <row s="1642" customFormat="1" customHeight="1" ht="18.75" hidden="1">
      <c r="A155" s="1786"/>
      <c r="B155" s="1786"/>
      <c r="C155" s="376" t="s">
        <v>1244</v>
      </c>
      <c r="D155" s="2482"/>
      <c r="E155" s="2224"/>
      <c r="F155" s="2403"/>
      <c r="G155" s="2447"/>
      <c r="H155" s="1507"/>
      <c r="I155" s="658" t="s">
        <v>1243</v>
      </c>
      <c r="J155" s="578"/>
      <c r="K155" s="1507"/>
      <c r="L155" s="221"/>
      <c r="M155" s="348"/>
      <c r="N155" s="341"/>
      <c r="O155" s="1631"/>
      <c r="P155" s="1631"/>
      <c r="AH155" s="1638">
        <v>0</v>
      </c>
    </row>
    <row s="1642" customFormat="1" customHeight="1" ht="0.75" hidden="1">
      <c r="A156" s="1786"/>
      <c r="B156" s="1786"/>
      <c r="C156" s="376" t="s">
        <v>1251</v>
      </c>
      <c r="D156" s="2482"/>
      <c r="E156" s="2224"/>
      <c r="F156" s="2403"/>
      <c r="G156" s="407"/>
      <c r="H156" s="1507"/>
      <c r="I156" s="658"/>
      <c r="J156" s="578"/>
      <c r="K156" s="1507"/>
      <c r="L156" s="221"/>
      <c r="M156" s="348"/>
      <c r="N156" s="341"/>
      <c r="O156" s="1631"/>
      <c r="P156" s="1631"/>
      <c r="AH156" s="1638">
        <v>0</v>
      </c>
    </row>
    <row s="1642" customFormat="1" customHeight="1" ht="45" hidden="1">
      <c r="A157" s="1786" t="s">
        <v>174</v>
      </c>
      <c r="B157" s="1786" t="s">
        <v>175</v>
      </c>
      <c r="C157" s="376"/>
      <c r="D157" s="2482"/>
      <c r="E157" s="2224"/>
      <c r="F157" s="24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7" t="str">
        <f>INDEX(PT_DIFFERENTIATION_NTAR,MATCH(B157,PT_DIFFERENTIATION_NTAR_ID,0))</f>
        <v/>
      </c>
      <c r="H157" s="1866"/>
      <c r="I157" s="1745"/>
      <c r="J157" s="1779"/>
      <c r="K157" s="1784"/>
      <c r="L157" s="1866" t="s">
        <v>305</v>
      </c>
      <c r="M157" s="348"/>
      <c r="N157" s="341"/>
      <c r="O157" s="1631"/>
      <c r="P157" s="1631"/>
      <c r="AH157" s="1638">
        <v>0</v>
      </c>
    </row>
    <row s="1642" customFormat="1" customHeight="1" ht="18.75" hidden="1">
      <c r="A158" s="1786"/>
      <c r="B158" s="1786"/>
      <c r="C158" s="376" t="s">
        <v>1244</v>
      </c>
      <c r="D158" s="2482"/>
      <c r="E158" s="2224"/>
      <c r="F158" s="2403"/>
      <c r="G158" s="2447"/>
      <c r="H158" s="1507"/>
      <c r="I158" s="658" t="s">
        <v>1243</v>
      </c>
      <c r="J158" s="578"/>
      <c r="K158" s="1507"/>
      <c r="L158" s="221"/>
      <c r="M158" s="348"/>
      <c r="N158" s="341"/>
      <c r="O158" s="1631"/>
      <c r="P158" s="1631"/>
      <c r="AH158" s="1638">
        <v>0</v>
      </c>
    </row>
    <row s="1642" customFormat="1" customHeight="1" ht="0.75" hidden="1">
      <c r="A159" s="1786"/>
      <c r="B159" s="1786"/>
      <c r="C159" s="376" t="s">
        <v>1251</v>
      </c>
      <c r="D159" s="2482"/>
      <c r="E159" s="2224"/>
      <c r="F159" s="2403"/>
      <c r="G159" s="407"/>
      <c r="H159" s="1507"/>
      <c r="I159" s="658"/>
      <c r="J159" s="578"/>
      <c r="K159" s="1507"/>
      <c r="L159" s="221"/>
      <c r="M159" s="348"/>
      <c r="N159" s="341"/>
      <c r="O159" s="1631"/>
      <c r="P159" s="1631"/>
      <c r="AH159" s="1638">
        <v>0</v>
      </c>
    </row>
    <row s="1642" customFormat="1" customHeight="1" ht="18.75" hidden="1">
      <c r="A160" s="1786" t="s">
        <v>180</v>
      </c>
      <c r="B160" s="1786" t="s">
        <v>181</v>
      </c>
      <c r="C160" s="376"/>
      <c r="D160" s="2482"/>
      <c r="E160" s="2224"/>
      <c r="F160" s="2403" t="str">
        <f>INDEX(PT_DIFFERENTIATION_VTAR,MATCH(A160,PT_DIFFERENTIATION_VTAR_ID,0))</f>
        <v>Тарифы на услуги по передаче тепловой энергии</v>
      </c>
      <c r="G160" s="2447" t="str">
        <f>INDEX(PT_DIFFERENTIATION_NTAR,MATCH(B160,PT_DIFFERENTIATION_NTAR_ID,0))</f>
        <v/>
      </c>
      <c r="H160" s="1866"/>
      <c r="I160" s="1745"/>
      <c r="J160" s="1779"/>
      <c r="K160" s="1784"/>
      <c r="L160" s="1866" t="s">
        <v>305</v>
      </c>
      <c r="M160" s="348"/>
      <c r="N160" s="341"/>
      <c r="O160" s="1631"/>
      <c r="P160" s="1631"/>
      <c r="AH160" s="1638">
        <v>0</v>
      </c>
    </row>
    <row s="1642" customFormat="1" customHeight="1" ht="18.75" hidden="1">
      <c r="A161" s="1786"/>
      <c r="B161" s="1786"/>
      <c r="C161" s="376" t="s">
        <v>1244</v>
      </c>
      <c r="D161" s="2482"/>
      <c r="E161" s="2224"/>
      <c r="F161" s="2403"/>
      <c r="G161" s="2447"/>
      <c r="H161" s="1507"/>
      <c r="I161" s="658" t="s">
        <v>1243</v>
      </c>
      <c r="J161" s="578"/>
      <c r="K161" s="1507"/>
      <c r="L161" s="221"/>
      <c r="M161" s="348"/>
      <c r="N161" s="341"/>
      <c r="O161" s="1631"/>
      <c r="P161" s="1631"/>
      <c r="AH161" s="1638">
        <v>0</v>
      </c>
    </row>
    <row s="1642" customFormat="1" customHeight="1" ht="0.75" hidden="1">
      <c r="A162" s="1786"/>
      <c r="B162" s="1786"/>
      <c r="C162" s="376" t="s">
        <v>1251</v>
      </c>
      <c r="D162" s="2482"/>
      <c r="E162" s="2224"/>
      <c r="F162" s="2403"/>
      <c r="G162" s="407"/>
      <c r="H162" s="1507"/>
      <c r="I162" s="658"/>
      <c r="J162" s="578"/>
      <c r="K162" s="1507"/>
      <c r="L162" s="221"/>
      <c r="M162" s="348"/>
      <c r="N162" s="341"/>
      <c r="O162" s="1631"/>
      <c r="P162" s="1631"/>
      <c r="AH162" s="1638">
        <v>0</v>
      </c>
    </row>
    <row s="1642" customFormat="1" customHeight="1" ht="18.75" hidden="1">
      <c r="A163" s="1786" t="s">
        <v>186</v>
      </c>
      <c r="B163" s="1786" t="s">
        <v>187</v>
      </c>
      <c r="C163" s="376"/>
      <c r="D163" s="2482"/>
      <c r="E163" s="2224"/>
      <c r="F163" s="2403" t="str">
        <f>INDEX(PT_DIFFERENTIATION_VTAR,MATCH(A163,PT_DIFFERENTIATION_VTAR_ID,0))</f>
        <v>Тарифы на услуги по передаче теплоносителя</v>
      </c>
      <c r="G163" s="2447" t="str">
        <f>INDEX(PT_DIFFERENTIATION_NTAR,MATCH(B163,PT_DIFFERENTIATION_NTAR_ID,0))</f>
        <v/>
      </c>
      <c r="H163" s="1866"/>
      <c r="I163" s="1745"/>
      <c r="J163" s="1779"/>
      <c r="K163" s="1784"/>
      <c r="L163" s="1866" t="s">
        <v>305</v>
      </c>
      <c r="M163" s="348"/>
      <c r="N163" s="341"/>
      <c r="O163" s="1631"/>
      <c r="P163" s="1631"/>
      <c r="AH163" s="1638">
        <v>0</v>
      </c>
    </row>
    <row s="1642" customFormat="1" customHeight="1" ht="18.75" hidden="1">
      <c r="A164" s="1786"/>
      <c r="B164" s="1786"/>
      <c r="C164" s="376" t="s">
        <v>1244</v>
      </c>
      <c r="D164" s="2482"/>
      <c r="E164" s="2224"/>
      <c r="F164" s="2403"/>
      <c r="G164" s="2447"/>
      <c r="H164" s="1507"/>
      <c r="I164" s="658" t="s">
        <v>1243</v>
      </c>
      <c r="J164" s="578"/>
      <c r="K164" s="1507"/>
      <c r="L164" s="221"/>
      <c r="M164" s="348"/>
      <c r="N164" s="341"/>
      <c r="O164" s="1631"/>
      <c r="P164" s="1631"/>
      <c r="AH164" s="1638">
        <v>0</v>
      </c>
    </row>
    <row s="1642" customFormat="1" customHeight="1" ht="0.75" hidden="1">
      <c r="A165" s="1786"/>
      <c r="B165" s="1786"/>
      <c r="C165" s="376" t="s">
        <v>1251</v>
      </c>
      <c r="D165" s="2482"/>
      <c r="E165" s="2224"/>
      <c r="F165" s="2403"/>
      <c r="G165" s="407"/>
      <c r="H165" s="1507"/>
      <c r="I165" s="658"/>
      <c r="J165" s="578"/>
      <c r="K165" s="1507"/>
      <c r="L165" s="221"/>
      <c r="M165" s="348"/>
      <c r="N165" s="341"/>
      <c r="O165" s="1631"/>
      <c r="P165" s="1631"/>
      <c r="AH165" s="1638">
        <v>0</v>
      </c>
    </row>
    <row s="1642" customFormat="1" customHeight="1" ht="18.75" hidden="1">
      <c r="A166" s="1786" t="s">
        <v>192</v>
      </c>
      <c r="B166" s="1786" t="s">
        <v>193</v>
      </c>
      <c r="C166" s="376"/>
      <c r="D166" s="2482"/>
      <c r="E166" s="2224"/>
      <c r="F166" s="24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7" t="str">
        <f>INDEX(PT_DIFFERENTIATION_NTAR,MATCH(B166,PT_DIFFERENTIATION_NTAR_ID,0))</f>
        <v/>
      </c>
      <c r="H166" s="1866"/>
      <c r="I166" s="1745"/>
      <c r="J166" s="1779"/>
      <c r="K166" s="1784"/>
      <c r="L166" s="1866" t="s">
        <v>305</v>
      </c>
      <c r="M166" s="348"/>
      <c r="N166" s="341"/>
      <c r="O166" s="1631"/>
      <c r="P166" s="1631"/>
      <c r="AH166" s="1638">
        <v>0</v>
      </c>
    </row>
    <row s="1642" customFormat="1" customHeight="1" ht="18.75" hidden="1">
      <c r="A167" s="1786"/>
      <c r="B167" s="1786"/>
      <c r="C167" s="376" t="s">
        <v>1244</v>
      </c>
      <c r="D167" s="2482"/>
      <c r="E167" s="2224"/>
      <c r="F167" s="2403"/>
      <c r="G167" s="2447"/>
      <c r="H167" s="1507"/>
      <c r="I167" s="658" t="s">
        <v>1243</v>
      </c>
      <c r="J167" s="578"/>
      <c r="K167" s="1507"/>
      <c r="L167" s="221"/>
      <c r="M167" s="348"/>
      <c r="N167" s="341"/>
      <c r="O167" s="1631"/>
      <c r="P167" s="1631"/>
      <c r="AH167" s="1638">
        <v>0</v>
      </c>
    </row>
    <row s="1642" customFormat="1" customHeight="1" ht="0.75" hidden="1">
      <c r="A168" s="1786"/>
      <c r="B168" s="1786"/>
      <c r="C168" s="376" t="s">
        <v>1251</v>
      </c>
      <c r="D168" s="2482"/>
      <c r="E168" s="2224"/>
      <c r="F168" s="2403"/>
      <c r="G168" s="407"/>
      <c r="H168" s="1507"/>
      <c r="I168" s="658"/>
      <c r="J168" s="578"/>
      <c r="K168" s="1507"/>
      <c r="L168" s="221"/>
      <c r="M168" s="348"/>
      <c r="N168" s="341"/>
      <c r="O168" s="1631"/>
      <c r="P168" s="1631"/>
      <c r="AH168" s="1638">
        <v>0</v>
      </c>
    </row>
    <row s="1642" customFormat="1" customHeight="1" ht="18.75" hidden="1">
      <c r="A169" s="1786" t="s">
        <v>198</v>
      </c>
      <c r="B169" s="1786" t="s">
        <v>199</v>
      </c>
      <c r="C169" s="376"/>
      <c r="D169" s="2482"/>
      <c r="E169" s="2224"/>
      <c r="F169" s="2403" t="str">
        <f>INDEX(PT_DIFFERENTIATION_VTAR,MATCH(A169,PT_DIFFERENTIATION_VTAR_ID,0))</f>
        <v>Плата за подключение (технологическое присоединение) к системе теплоснабжения</v>
      </c>
      <c r="G169" s="2447" t="str">
        <f>INDEX(PT_DIFFERENTIATION_NTAR,MATCH(B169,PT_DIFFERENTIATION_NTAR_ID,0))</f>
        <v/>
      </c>
      <c r="H169" s="1866"/>
      <c r="I169" s="1745"/>
      <c r="J169" s="1779"/>
      <c r="K169" s="1784"/>
      <c r="L169" s="1866" t="s">
        <v>305</v>
      </c>
      <c r="M169" s="348"/>
      <c r="N169" s="341"/>
      <c r="O169" s="1631"/>
      <c r="P169" s="1631"/>
      <c r="AH169" s="1638">
        <v>0</v>
      </c>
    </row>
    <row s="1642" customFormat="1" customHeight="1" ht="18.75" hidden="1">
      <c r="A170" s="1786"/>
      <c r="B170" s="1786"/>
      <c r="C170" s="376" t="s">
        <v>1244</v>
      </c>
      <c r="D170" s="2482"/>
      <c r="E170" s="2224"/>
      <c r="F170" s="2403"/>
      <c r="G170" s="2447"/>
      <c r="H170" s="1507"/>
      <c r="I170" s="658" t="s">
        <v>1243</v>
      </c>
      <c r="J170" s="578"/>
      <c r="K170" s="1507"/>
      <c r="L170" s="221"/>
      <c r="M170" s="348"/>
      <c r="N170" s="341"/>
      <c r="O170" s="1631"/>
      <c r="P170" s="1631"/>
      <c r="AH170" s="1638">
        <v>0</v>
      </c>
    </row>
    <row s="1642" customFormat="1" customHeight="1" ht="0.75" hidden="1">
      <c r="A171" s="1786"/>
      <c r="B171" s="1786"/>
      <c r="C171" s="376" t="s">
        <v>1251</v>
      </c>
      <c r="D171" s="2482"/>
      <c r="E171" s="2224"/>
      <c r="F171" s="2403"/>
      <c r="G171" s="407"/>
      <c r="H171" s="1507"/>
      <c r="I171" s="658"/>
      <c r="J171" s="578"/>
      <c r="K171" s="1507"/>
      <c r="L171" s="221"/>
      <c r="M171" s="348"/>
      <c r="N171" s="341"/>
      <c r="O171" s="1631"/>
      <c r="P171" s="1631"/>
      <c r="AH171" s="1638">
        <v>0</v>
      </c>
    </row>
    <row s="1642" customFormat="1" customHeight="1" ht="18.75" hidden="1">
      <c r="A172" s="1786" t="s">
        <v>204</v>
      </c>
      <c r="B172" s="1786" t="s">
        <v>205</v>
      </c>
      <c r="C172" s="376"/>
      <c r="D172" s="2482"/>
      <c r="E172" s="2224"/>
      <c r="F172" s="2403" t="str">
        <f>INDEX(PT_DIFFERENTIATION_VTAR,MATCH(A172,PT_DIFFERENTIATION_VTAR_ID,0))</f>
        <v>Плата за подключение (технологическое присоединение) к системе теплоснабжения (индивидуальная)</v>
      </c>
      <c r="G172" s="2447" t="str">
        <f>INDEX(PT_DIFFERENTIATION_NTAR,MATCH(B172,PT_DIFFERENTIATION_NTAR_ID,0))</f>
        <v/>
      </c>
      <c r="H172" s="1993"/>
      <c r="I172" s="1745"/>
      <c r="J172" s="1779"/>
      <c r="K172" s="1784"/>
      <c r="L172" s="1993" t="s">
        <v>305</v>
      </c>
      <c r="M172" s="348"/>
      <c r="N172" s="341"/>
      <c r="O172" s="1631"/>
      <c r="P172" s="1631"/>
      <c r="AH172" s="1638">
        <v>0</v>
      </c>
    </row>
    <row s="1642" customFormat="1" customHeight="1" ht="18.75" hidden="1">
      <c r="A173" s="1786"/>
      <c r="B173" s="1786"/>
      <c r="C173" s="376" t="s">
        <v>1244</v>
      </c>
      <c r="D173" s="2482"/>
      <c r="E173" s="2224"/>
      <c r="F173" s="2403"/>
      <c r="G173" s="2447"/>
      <c r="H173" s="1507"/>
      <c r="I173" s="658" t="s">
        <v>1243</v>
      </c>
      <c r="J173" s="578"/>
      <c r="K173" s="1507"/>
      <c r="L173" s="221"/>
      <c r="M173" s="348"/>
      <c r="N173" s="341"/>
      <c r="O173" s="1631"/>
      <c r="P173" s="1631"/>
      <c r="AH173" s="1638">
        <v>0</v>
      </c>
    </row>
    <row s="1642" customFormat="1" customHeight="1" ht="0.75" hidden="1">
      <c r="A174" s="1786"/>
      <c r="B174" s="1786"/>
      <c r="C174" s="376" t="s">
        <v>1251</v>
      </c>
      <c r="D174" s="2482"/>
      <c r="E174" s="2224"/>
      <c r="F174" s="2403"/>
      <c r="G174" s="407"/>
      <c r="H174" s="1507"/>
      <c r="I174" s="658"/>
      <c r="J174" s="578"/>
      <c r="K174" s="1507"/>
      <c r="L174" s="221"/>
      <c r="M174" s="348"/>
      <c r="N174" s="341"/>
      <c r="O174" s="1631"/>
      <c r="P174" s="1631"/>
      <c r="AH174" s="1638">
        <v>0</v>
      </c>
    </row>
    <row s="1642" customFormat="1" customHeight="1" ht="18.75" hidden="1">
      <c r="A175" s="1786" t="s">
        <v>224</v>
      </c>
      <c r="B175" s="1786" t="s">
        <v>225</v>
      </c>
      <c r="C175" s="376"/>
      <c r="D175" s="2482"/>
      <c r="E175" s="2224"/>
      <c r="F175" s="2403" t="str">
        <f>INDEX(PT_DIFFERENTIATION_VTAR,MATCH(A175,PT_DIFFERENTIATION_VTAR_ID,0))</f>
        <v>Тариф на питьевую воду (питьевое водоснабжение)</v>
      </c>
      <c r="G175" s="2447" t="str">
        <f>INDEX(PT_DIFFERENTIATION_NTAR,MATCH(B175,PT_DIFFERENTIATION_NTAR_ID,0))</f>
        <v/>
      </c>
      <c r="H175" s="1866"/>
      <c r="I175" s="1745"/>
      <c r="J175" s="1779"/>
      <c r="K175" s="1784"/>
      <c r="L175" s="1866" t="s">
        <v>305</v>
      </c>
      <c r="M175" s="348"/>
      <c r="N175" s="341"/>
      <c r="O175" s="1631"/>
      <c r="P175" s="1631"/>
      <c r="AH175" s="1638">
        <v>0</v>
      </c>
    </row>
    <row s="1642" customFormat="1" customHeight="1" ht="18.75" hidden="1">
      <c r="A176" s="1786"/>
      <c r="B176" s="1786"/>
      <c r="C176" s="376" t="s">
        <v>1244</v>
      </c>
      <c r="D176" s="2482"/>
      <c r="E176" s="2224"/>
      <c r="F176" s="2403"/>
      <c r="G176" s="2447"/>
      <c r="H176" s="1507"/>
      <c r="I176" s="658" t="s">
        <v>1243</v>
      </c>
      <c r="J176" s="578"/>
      <c r="K176" s="1507"/>
      <c r="L176" s="221"/>
      <c r="M176" s="348"/>
      <c r="N176" s="341"/>
      <c r="O176" s="1631"/>
      <c r="P176" s="1631"/>
      <c r="AH176" s="1638">
        <v>0</v>
      </c>
    </row>
    <row s="1642" customFormat="1" customHeight="1" ht="0.75" hidden="1">
      <c r="A177" s="1786"/>
      <c r="B177" s="1786"/>
      <c r="C177" s="376" t="s">
        <v>1251</v>
      </c>
      <c r="D177" s="2482"/>
      <c r="E177" s="2224"/>
      <c r="F177" s="2403"/>
      <c r="G177" s="407"/>
      <c r="H177" s="1507"/>
      <c r="I177" s="658"/>
      <c r="J177" s="578"/>
      <c r="K177" s="1507"/>
      <c r="L177" s="221"/>
      <c r="M177" s="348"/>
      <c r="N177" s="341"/>
      <c r="O177" s="1631"/>
      <c r="P177" s="1631"/>
      <c r="AH177" s="1638">
        <v>0</v>
      </c>
    </row>
    <row s="1642" customFormat="1" customHeight="1" ht="18.75" hidden="1">
      <c r="A178" s="1786" t="s">
        <v>229</v>
      </c>
      <c r="B178" s="1786" t="s">
        <v>230</v>
      </c>
      <c r="C178" s="376"/>
      <c r="D178" s="2482"/>
      <c r="E178" s="2224"/>
      <c r="F178" s="2403" t="str">
        <f>INDEX(PT_DIFFERENTIATION_VTAR,MATCH(A178,PT_DIFFERENTIATION_VTAR_ID,0))</f>
        <v>Тариф на техническую воду</v>
      </c>
      <c r="G178" s="2447" t="str">
        <f>INDEX(PT_DIFFERENTIATION_NTAR,MATCH(B178,PT_DIFFERENTIATION_NTAR_ID,0))</f>
        <v/>
      </c>
      <c r="H178" s="1866"/>
      <c r="I178" s="1745"/>
      <c r="J178" s="1779"/>
      <c r="K178" s="1784"/>
      <c r="L178" s="1866" t="s">
        <v>305</v>
      </c>
      <c r="M178" s="348"/>
      <c r="N178" s="341"/>
      <c r="O178" s="1631"/>
      <c r="P178" s="1631"/>
      <c r="AH178" s="1638">
        <v>0</v>
      </c>
    </row>
    <row s="1642" customFormat="1" customHeight="1" ht="18.75" hidden="1">
      <c r="A179" s="1786"/>
      <c r="B179" s="1786"/>
      <c r="C179" s="376" t="s">
        <v>1244</v>
      </c>
      <c r="D179" s="2482"/>
      <c r="E179" s="2224"/>
      <c r="F179" s="2403"/>
      <c r="G179" s="2447"/>
      <c r="H179" s="1507"/>
      <c r="I179" s="658" t="s">
        <v>1243</v>
      </c>
      <c r="J179" s="578"/>
      <c r="K179" s="1507"/>
      <c r="L179" s="221"/>
      <c r="M179" s="348"/>
      <c r="N179" s="341"/>
      <c r="O179" s="1631"/>
      <c r="P179" s="1631"/>
      <c r="AH179" s="1638">
        <v>0</v>
      </c>
    </row>
    <row s="1642" customFormat="1" customHeight="1" ht="0.75" hidden="1">
      <c r="A180" s="1786"/>
      <c r="B180" s="1786"/>
      <c r="C180" s="376" t="s">
        <v>1251</v>
      </c>
      <c r="D180" s="2482"/>
      <c r="E180" s="2224"/>
      <c r="F180" s="2403"/>
      <c r="G180" s="407"/>
      <c r="H180" s="1507"/>
      <c r="I180" s="658"/>
      <c r="J180" s="578"/>
      <c r="K180" s="1507"/>
      <c r="L180" s="221"/>
      <c r="M180" s="348"/>
      <c r="N180" s="341"/>
      <c r="O180" s="1631"/>
      <c r="P180" s="1631"/>
      <c r="AH180" s="1638">
        <v>0</v>
      </c>
    </row>
    <row s="1642" customFormat="1" customHeight="1" ht="18.75" hidden="1">
      <c r="A181" s="1786" t="s">
        <v>234</v>
      </c>
      <c r="B181" s="1786" t="s">
        <v>235</v>
      </c>
      <c r="C181" s="376"/>
      <c r="D181" s="2482"/>
      <c r="E181" s="2224"/>
      <c r="F181" s="2403" t="str">
        <f>INDEX(PT_DIFFERENTIATION_VTAR,MATCH(A181,PT_DIFFERENTIATION_VTAR_ID,0))</f>
        <v>Тариф на транспортировку воды</v>
      </c>
      <c r="G181" s="2447" t="str">
        <f>INDEX(PT_DIFFERENTIATION_NTAR,MATCH(B181,PT_DIFFERENTIATION_NTAR_ID,0))</f>
        <v/>
      </c>
      <c r="H181" s="1866"/>
      <c r="I181" s="1745"/>
      <c r="J181" s="1779"/>
      <c r="K181" s="1784"/>
      <c r="L181" s="1866" t="s">
        <v>305</v>
      </c>
      <c r="M181" s="348"/>
      <c r="N181" s="341"/>
      <c r="O181" s="1631"/>
      <c r="P181" s="1631"/>
      <c r="AH181" s="1638">
        <v>0</v>
      </c>
    </row>
    <row s="1642" customFormat="1" customHeight="1" ht="18.75" hidden="1">
      <c r="A182" s="1786"/>
      <c r="B182" s="1786"/>
      <c r="C182" s="376" t="s">
        <v>1244</v>
      </c>
      <c r="D182" s="2482"/>
      <c r="E182" s="2224"/>
      <c r="F182" s="2403"/>
      <c r="G182" s="2447"/>
      <c r="H182" s="1507"/>
      <c r="I182" s="658" t="s">
        <v>1243</v>
      </c>
      <c r="J182" s="578"/>
      <c r="K182" s="1507"/>
      <c r="L182" s="221"/>
      <c r="M182" s="348"/>
      <c r="N182" s="341"/>
      <c r="O182" s="1631"/>
      <c r="P182" s="1631"/>
      <c r="AH182" s="1638">
        <v>0</v>
      </c>
    </row>
    <row s="1642" customFormat="1" customHeight="1" ht="0.75" hidden="1">
      <c r="A183" s="1786"/>
      <c r="B183" s="1786"/>
      <c r="C183" s="376" t="s">
        <v>1251</v>
      </c>
      <c r="D183" s="2482"/>
      <c r="E183" s="2224"/>
      <c r="F183" s="2403"/>
      <c r="G183" s="407"/>
      <c r="H183" s="1507"/>
      <c r="I183" s="658"/>
      <c r="J183" s="578"/>
      <c r="K183" s="1507"/>
      <c r="L183" s="221"/>
      <c r="M183" s="348"/>
      <c r="N183" s="341"/>
      <c r="O183" s="1631"/>
      <c r="P183" s="1631"/>
      <c r="AH183" s="1638">
        <v>0</v>
      </c>
    </row>
    <row s="1642" customFormat="1" customHeight="1" ht="18.75" hidden="1">
      <c r="A184" s="1786" t="s">
        <v>239</v>
      </c>
      <c r="B184" s="1786" t="s">
        <v>240</v>
      </c>
      <c r="C184" s="376"/>
      <c r="D184" s="2482"/>
      <c r="E184" s="2224"/>
      <c r="F184" s="2403" t="str">
        <f>INDEX(PT_DIFFERENTIATION_VTAR,MATCH(A184,PT_DIFFERENTIATION_VTAR_ID,0))</f>
        <v>Тариф на подвоз воды</v>
      </c>
      <c r="G184" s="2447" t="str">
        <f>INDEX(PT_DIFFERENTIATION_NTAR,MATCH(B184,PT_DIFFERENTIATION_NTAR_ID,0))</f>
        <v/>
      </c>
      <c r="H184" s="1866"/>
      <c r="I184" s="1745"/>
      <c r="J184" s="1779"/>
      <c r="K184" s="1784"/>
      <c r="L184" s="1866" t="s">
        <v>305</v>
      </c>
      <c r="M184" s="348"/>
      <c r="N184" s="341"/>
      <c r="O184" s="1631"/>
      <c r="P184" s="1631"/>
      <c r="AH184" s="1638">
        <v>0</v>
      </c>
    </row>
    <row s="1642" customFormat="1" customHeight="1" ht="18.75" hidden="1">
      <c r="A185" s="1786"/>
      <c r="B185" s="1786"/>
      <c r="C185" s="376" t="s">
        <v>1244</v>
      </c>
      <c r="D185" s="2482"/>
      <c r="E185" s="2224"/>
      <c r="F185" s="2403"/>
      <c r="G185" s="2447"/>
      <c r="H185" s="1507"/>
      <c r="I185" s="658" t="s">
        <v>1243</v>
      </c>
      <c r="J185" s="578"/>
      <c r="K185" s="1507"/>
      <c r="L185" s="221"/>
      <c r="M185" s="348"/>
      <c r="N185" s="341"/>
      <c r="O185" s="1631"/>
      <c r="P185" s="1631"/>
      <c r="AH185" s="1638">
        <v>0</v>
      </c>
    </row>
    <row s="1642" customFormat="1" customHeight="1" ht="0.75" hidden="1">
      <c r="A186" s="1786"/>
      <c r="B186" s="1786"/>
      <c r="C186" s="376" t="s">
        <v>1251</v>
      </c>
      <c r="D186" s="2482"/>
      <c r="E186" s="2224"/>
      <c r="F186" s="2403"/>
      <c r="G186" s="407"/>
      <c r="H186" s="1507"/>
      <c r="I186" s="658"/>
      <c r="J186" s="578"/>
      <c r="K186" s="1507"/>
      <c r="L186" s="221"/>
      <c r="M186" s="348"/>
      <c r="N186" s="341"/>
      <c r="O186" s="1631"/>
      <c r="P186" s="1631"/>
      <c r="AH186" s="1638">
        <v>0</v>
      </c>
    </row>
    <row s="1642" customFormat="1" customHeight="1" ht="18.75" hidden="1">
      <c r="A187" s="1786" t="s">
        <v>244</v>
      </c>
      <c r="B187" s="1786" t="s">
        <v>245</v>
      </c>
      <c r="C187" s="376"/>
      <c r="D187" s="2482"/>
      <c r="E187" s="2224"/>
      <c r="F187" s="24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7" t="str">
        <f>INDEX(PT_DIFFERENTIATION_NTAR,MATCH(B187,PT_DIFFERENTIATION_NTAR_ID,0))</f>
        <v/>
      </c>
      <c r="H187" s="1866"/>
      <c r="I187" s="1745"/>
      <c r="J187" s="1779"/>
      <c r="K187" s="1784"/>
      <c r="L187" s="1866" t="s">
        <v>305</v>
      </c>
      <c r="M187" s="348"/>
      <c r="N187" s="341"/>
      <c r="O187" s="1631"/>
      <c r="P187" s="1631"/>
      <c r="AH187" s="1638">
        <v>0</v>
      </c>
    </row>
    <row s="1642" customFormat="1" customHeight="1" ht="18.75" hidden="1">
      <c r="A188" s="1786"/>
      <c r="B188" s="1786"/>
      <c r="C188" s="376" t="s">
        <v>1244</v>
      </c>
      <c r="D188" s="2482"/>
      <c r="E188" s="2224"/>
      <c r="F188" s="2403"/>
      <c r="G188" s="2447"/>
      <c r="H188" s="1507"/>
      <c r="I188" s="658" t="s">
        <v>1243</v>
      </c>
      <c r="J188" s="578"/>
      <c r="K188" s="1507"/>
      <c r="L188" s="221"/>
      <c r="M188" s="348"/>
      <c r="N188" s="341"/>
      <c r="O188" s="1631"/>
      <c r="P188" s="1631"/>
      <c r="AH188" s="1638">
        <v>0</v>
      </c>
    </row>
    <row s="1642" customFormat="1" customHeight="1" ht="0.75" hidden="1">
      <c r="A189" s="1786"/>
      <c r="B189" s="1786"/>
      <c r="C189" s="376" t="s">
        <v>1251</v>
      </c>
      <c r="D189" s="2482"/>
      <c r="E189" s="2224"/>
      <c r="F189" s="2403"/>
      <c r="G189" s="407"/>
      <c r="H189" s="1507"/>
      <c r="I189" s="658"/>
      <c r="J189" s="578"/>
      <c r="K189" s="1507"/>
      <c r="L189" s="221"/>
      <c r="M189" s="348"/>
      <c r="N189" s="341"/>
      <c r="O189" s="1631"/>
      <c r="P189" s="1631"/>
      <c r="AH189" s="1638">
        <v>0</v>
      </c>
    </row>
    <row s="1642" customFormat="1" customHeight="1" ht="18.75" hidden="1">
      <c r="A190" s="1786" t="s">
        <v>249</v>
      </c>
      <c r="B190" s="1786" t="s">
        <v>250</v>
      </c>
      <c r="C190" s="376"/>
      <c r="D190" s="2482"/>
      <c r="E190" s="2224"/>
      <c r="F190" s="2403" t="str">
        <f>INDEX(PT_DIFFERENTIATION_VTAR,MATCH(A190,PT_DIFFERENTIATION_VTAR_ID,0))</f>
        <v>Тариф на горячую воду (горячее водоснабжение)</v>
      </c>
      <c r="G190" s="2447" t="str">
        <f>INDEX(PT_DIFFERENTIATION_NTAR,MATCH(B190,PT_DIFFERENTIATION_NTAR_ID,0))</f>
        <v/>
      </c>
      <c r="H190" s="1866"/>
      <c r="I190" s="1745"/>
      <c r="J190" s="1779"/>
      <c r="K190" s="1784"/>
      <c r="L190" s="1866" t="s">
        <v>305</v>
      </c>
      <c r="M190" s="348"/>
      <c r="N190" s="341"/>
      <c r="O190" s="1631"/>
      <c r="P190" s="1631"/>
      <c r="AH190" s="1638">
        <v>0</v>
      </c>
    </row>
    <row s="1642" customFormat="1" customHeight="1" ht="18.75" hidden="1">
      <c r="A191" s="1786"/>
      <c r="B191" s="1786"/>
      <c r="C191" s="376" t="s">
        <v>1244</v>
      </c>
      <c r="D191" s="2482"/>
      <c r="E191" s="2224"/>
      <c r="F191" s="2403"/>
      <c r="G191" s="2447"/>
      <c r="H191" s="1507"/>
      <c r="I191" s="658" t="s">
        <v>1243</v>
      </c>
      <c r="J191" s="578"/>
      <c r="K191" s="1507"/>
      <c r="L191" s="221"/>
      <c r="M191" s="348"/>
      <c r="N191" s="341"/>
      <c r="O191" s="1631"/>
      <c r="P191" s="1631"/>
      <c r="AH191" s="1638">
        <v>0</v>
      </c>
    </row>
    <row s="1642" customFormat="1" customHeight="1" ht="0.75" hidden="1">
      <c r="A192" s="1786"/>
      <c r="B192" s="1786"/>
      <c r="C192" s="376" t="s">
        <v>1251</v>
      </c>
      <c r="D192" s="2482"/>
      <c r="E192" s="2224"/>
      <c r="F192" s="2403"/>
      <c r="G192" s="407"/>
      <c r="H192" s="1507"/>
      <c r="I192" s="658"/>
      <c r="J192" s="578"/>
      <c r="K192" s="1507"/>
      <c r="L192" s="221"/>
      <c r="M192" s="348"/>
      <c r="N192" s="341"/>
      <c r="O192" s="1631"/>
      <c r="P192" s="1631"/>
      <c r="AH192" s="1638">
        <v>0</v>
      </c>
    </row>
    <row s="1642" customFormat="1" customHeight="1" ht="18.75" hidden="1">
      <c r="A193" s="1786" t="s">
        <v>254</v>
      </c>
      <c r="B193" s="1786" t="s">
        <v>255</v>
      </c>
      <c r="C193" s="376"/>
      <c r="D193" s="2482"/>
      <c r="E193" s="2224"/>
      <c r="F193" s="2403" t="str">
        <f>INDEX(PT_DIFFERENTIATION_VTAR,MATCH(A193,PT_DIFFERENTIATION_VTAR_ID,0))</f>
        <v>Тариф на транспортировку горячей воды</v>
      </c>
      <c r="G193" s="2447" t="str">
        <f>INDEX(PT_DIFFERENTIATION_NTAR,MATCH(B193,PT_DIFFERENTIATION_NTAR_ID,0))</f>
        <v/>
      </c>
      <c r="H193" s="1866"/>
      <c r="I193" s="1745"/>
      <c r="J193" s="1779"/>
      <c r="K193" s="1784"/>
      <c r="L193" s="1866" t="s">
        <v>305</v>
      </c>
      <c r="M193" s="348"/>
      <c r="N193" s="341"/>
      <c r="O193" s="1631"/>
      <c r="P193" s="1631"/>
      <c r="AH193" s="1638">
        <v>0</v>
      </c>
    </row>
    <row s="1642" customFormat="1" customHeight="1" ht="18.75" hidden="1">
      <c r="A194" s="1786"/>
      <c r="B194" s="1786"/>
      <c r="C194" s="376" t="s">
        <v>1244</v>
      </c>
      <c r="D194" s="2482"/>
      <c r="E194" s="2224"/>
      <c r="F194" s="2403"/>
      <c r="G194" s="2447"/>
      <c r="H194" s="1507"/>
      <c r="I194" s="658" t="s">
        <v>1243</v>
      </c>
      <c r="J194" s="578"/>
      <c r="K194" s="1507"/>
      <c r="L194" s="221"/>
      <c r="M194" s="348"/>
      <c r="N194" s="341"/>
      <c r="O194" s="1631"/>
      <c r="P194" s="1631"/>
      <c r="AH194" s="1638">
        <v>0</v>
      </c>
    </row>
    <row s="1642" customFormat="1" customHeight="1" ht="0.75" hidden="1">
      <c r="A195" s="1786"/>
      <c r="B195" s="1786"/>
      <c r="C195" s="376" t="s">
        <v>1251</v>
      </c>
      <c r="D195" s="2482"/>
      <c r="E195" s="2224"/>
      <c r="F195" s="2403"/>
      <c r="G195" s="407"/>
      <c r="H195" s="1507"/>
      <c r="I195" s="658"/>
      <c r="J195" s="578"/>
      <c r="K195" s="1507"/>
      <c r="L195" s="221"/>
      <c r="M195" s="348"/>
      <c r="N195" s="341"/>
      <c r="O195" s="1631"/>
      <c r="P195" s="1631"/>
      <c r="AH195" s="1638">
        <v>0</v>
      </c>
    </row>
    <row s="1642" customFormat="1" customHeight="1" ht="18.75" hidden="1">
      <c r="A196" s="1786" t="s">
        <v>259</v>
      </c>
      <c r="B196" s="1786" t="s">
        <v>260</v>
      </c>
      <c r="C196" s="376"/>
      <c r="D196" s="2482"/>
      <c r="E196" s="2224"/>
      <c r="F196" s="24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7" t="str">
        <f>INDEX(PT_DIFFERENTIATION_NTAR,MATCH(B196,PT_DIFFERENTIATION_NTAR_ID,0))</f>
        <v/>
      </c>
      <c r="H196" s="1866"/>
      <c r="I196" s="1745"/>
      <c r="J196" s="1779"/>
      <c r="K196" s="1784"/>
      <c r="L196" s="1866" t="s">
        <v>305</v>
      </c>
      <c r="M196" s="348"/>
      <c r="N196" s="341"/>
      <c r="O196" s="1631"/>
      <c r="P196" s="1631"/>
      <c r="AH196" s="1638">
        <v>0</v>
      </c>
    </row>
    <row s="1642" customFormat="1" customHeight="1" ht="18.75" hidden="1">
      <c r="A197" s="1786"/>
      <c r="B197" s="1786"/>
      <c r="C197" s="376" t="s">
        <v>1244</v>
      </c>
      <c r="D197" s="2482"/>
      <c r="E197" s="2224"/>
      <c r="F197" s="2403"/>
      <c r="G197" s="2447"/>
      <c r="H197" s="1507"/>
      <c r="I197" s="658" t="s">
        <v>1243</v>
      </c>
      <c r="J197" s="578"/>
      <c r="K197" s="1507"/>
      <c r="L197" s="221"/>
      <c r="M197" s="348"/>
      <c r="N197" s="341"/>
      <c r="O197" s="1631"/>
      <c r="P197" s="1631"/>
      <c r="AH197" s="1638">
        <v>0</v>
      </c>
    </row>
    <row s="1642" customFormat="1" customHeight="1" ht="0.75" hidden="1">
      <c r="A198" s="1786"/>
      <c r="B198" s="1786"/>
      <c r="C198" s="376" t="s">
        <v>1251</v>
      </c>
      <c r="D198" s="2482"/>
      <c r="E198" s="2224"/>
      <c r="F198" s="2403"/>
      <c r="G198" s="407"/>
      <c r="H198" s="1507"/>
      <c r="I198" s="658"/>
      <c r="J198" s="578"/>
      <c r="K198" s="1507"/>
      <c r="L198" s="221"/>
      <c r="M198" s="348"/>
      <c r="N198" s="341"/>
      <c r="O198" s="1631"/>
      <c r="P198" s="1631"/>
      <c r="AH198" s="1638">
        <v>0</v>
      </c>
    </row>
    <row s="1642" customFormat="1" customHeight="1" ht="18.75" hidden="1">
      <c r="A199" s="1786" t="s">
        <v>264</v>
      </c>
      <c r="B199" s="1786" t="s">
        <v>265</v>
      </c>
      <c r="C199" s="376"/>
      <c r="D199" s="2482"/>
      <c r="E199" s="2224"/>
      <c r="F199" s="2403" t="str">
        <f>INDEX(PT_DIFFERENTIATION_VTAR,MATCH(A199,PT_DIFFERENTIATION_VTAR_ID,0))</f>
        <v>Тариф на водоотведение</v>
      </c>
      <c r="G199" s="2447" t="str">
        <f>INDEX(PT_DIFFERENTIATION_NTAR,MATCH(B199,PT_DIFFERENTIATION_NTAR_ID,0))</f>
        <v/>
      </c>
      <c r="H199" s="1866"/>
      <c r="I199" s="1745"/>
      <c r="J199" s="1779"/>
      <c r="K199" s="1784"/>
      <c r="L199" s="1866" t="s">
        <v>305</v>
      </c>
      <c r="M199" s="348"/>
      <c r="N199" s="341"/>
      <c r="O199" s="1631"/>
      <c r="P199" s="1631"/>
      <c r="AH199" s="1638">
        <v>0</v>
      </c>
    </row>
    <row s="1642" customFormat="1" customHeight="1" ht="18.75" hidden="1">
      <c r="A200" s="1786"/>
      <c r="B200" s="1786"/>
      <c r="C200" s="376" t="s">
        <v>1244</v>
      </c>
      <c r="D200" s="2482"/>
      <c r="E200" s="2224"/>
      <c r="F200" s="2403"/>
      <c r="G200" s="2447"/>
      <c r="H200" s="1507"/>
      <c r="I200" s="658" t="s">
        <v>1243</v>
      </c>
      <c r="J200" s="578"/>
      <c r="K200" s="1507"/>
      <c r="L200" s="221"/>
      <c r="M200" s="348"/>
      <c r="N200" s="341"/>
      <c r="O200" s="1631"/>
      <c r="P200" s="1631"/>
      <c r="AH200" s="1638">
        <v>0</v>
      </c>
    </row>
    <row s="1642" customFormat="1" customHeight="1" ht="0.75" hidden="1">
      <c r="A201" s="1786"/>
      <c r="B201" s="1786"/>
      <c r="C201" s="376" t="s">
        <v>1251</v>
      </c>
      <c r="D201" s="2482"/>
      <c r="E201" s="2224"/>
      <c r="F201" s="2403"/>
      <c r="G201" s="407"/>
      <c r="H201" s="1507"/>
      <c r="I201" s="658"/>
      <c r="J201" s="578"/>
      <c r="K201" s="1507"/>
      <c r="L201" s="221"/>
      <c r="M201" s="348"/>
      <c r="N201" s="341"/>
      <c r="O201" s="1631"/>
      <c r="P201" s="1631"/>
      <c r="AH201" s="1638">
        <v>0</v>
      </c>
    </row>
    <row s="1642" customFormat="1" customHeight="1" ht="18.75" hidden="1">
      <c r="A202" s="1786" t="s">
        <v>269</v>
      </c>
      <c r="B202" s="1786" t="s">
        <v>270</v>
      </c>
      <c r="C202" s="376"/>
      <c r="D202" s="2482"/>
      <c r="E202" s="2224"/>
      <c r="F202" s="2403" t="str">
        <f>INDEX(PT_DIFFERENTIATION_VTAR,MATCH(A202,PT_DIFFERENTIATION_VTAR_ID,0))</f>
        <v>Тариф на транспортировку сточных вод</v>
      </c>
      <c r="G202" s="2447" t="str">
        <f>INDEX(PT_DIFFERENTIATION_NTAR,MATCH(B202,PT_DIFFERENTIATION_NTAR_ID,0))</f>
        <v/>
      </c>
      <c r="H202" s="1866"/>
      <c r="I202" s="1745"/>
      <c r="J202" s="1779"/>
      <c r="K202" s="1784"/>
      <c r="L202" s="1866" t="s">
        <v>305</v>
      </c>
      <c r="M202" s="348"/>
      <c r="N202" s="341"/>
      <c r="O202" s="1631"/>
      <c r="P202" s="1631"/>
      <c r="AH202" s="1638">
        <v>0</v>
      </c>
    </row>
    <row s="1642" customFormat="1" customHeight="1" ht="18.75" hidden="1">
      <c r="A203" s="1786"/>
      <c r="B203" s="1786"/>
      <c r="C203" s="376" t="s">
        <v>1244</v>
      </c>
      <c r="D203" s="2482"/>
      <c r="E203" s="2224"/>
      <c r="F203" s="2403"/>
      <c r="G203" s="2447"/>
      <c r="H203" s="1507"/>
      <c r="I203" s="658" t="s">
        <v>1243</v>
      </c>
      <c r="J203" s="578"/>
      <c r="K203" s="1507"/>
      <c r="L203" s="221"/>
      <c r="M203" s="348"/>
      <c r="N203" s="341"/>
      <c r="O203" s="1631"/>
      <c r="P203" s="1631"/>
      <c r="AH203" s="1638">
        <v>0</v>
      </c>
    </row>
    <row s="1642" customFormat="1" customHeight="1" ht="0.75" hidden="1">
      <c r="A204" s="1786"/>
      <c r="B204" s="1786"/>
      <c r="C204" s="376" t="s">
        <v>1251</v>
      </c>
      <c r="D204" s="2482"/>
      <c r="E204" s="2224"/>
      <c r="F204" s="2403"/>
      <c r="G204" s="407"/>
      <c r="H204" s="1507"/>
      <c r="I204" s="658"/>
      <c r="J204" s="578"/>
      <c r="K204" s="1507"/>
      <c r="L204" s="221"/>
      <c r="M204" s="348"/>
      <c r="N204" s="341"/>
      <c r="O204" s="1631"/>
      <c r="P204" s="1631"/>
      <c r="AH204" s="1638">
        <v>0</v>
      </c>
    </row>
    <row s="1642" customFormat="1" customHeight="1" ht="18.75" hidden="1">
      <c r="A205" s="1786" t="s">
        <v>274</v>
      </c>
      <c r="B205" s="1786" t="s">
        <v>275</v>
      </c>
      <c r="C205" s="376"/>
      <c r="D205" s="2482"/>
      <c r="E205" s="2224"/>
      <c r="F205" s="2403" t="str">
        <f>INDEX(PT_DIFFERENTIATION_VTAR,MATCH(A205,PT_DIFFERENTIATION_VTAR_ID,0))</f>
        <v>Тариф на подключение (технологическое присоединение) к централизованной системе водоотведения</v>
      </c>
      <c r="G205" s="2447" t="str">
        <f>INDEX(PT_DIFFERENTIATION_NTAR,MATCH(B205,PT_DIFFERENTIATION_NTAR_ID,0))</f>
        <v/>
      </c>
      <c r="H205" s="1866"/>
      <c r="I205" s="1745"/>
      <c r="J205" s="1779"/>
      <c r="K205" s="1784"/>
      <c r="L205" s="1866" t="s">
        <v>305</v>
      </c>
      <c r="M205" s="348"/>
      <c r="N205" s="341"/>
      <c r="O205" s="1631"/>
      <c r="P205" s="1631"/>
      <c r="AH205" s="1638">
        <v>0</v>
      </c>
    </row>
    <row s="1642" customFormat="1" customHeight="1" ht="18.75" hidden="1">
      <c r="A206" s="1786"/>
      <c r="B206" s="1786"/>
      <c r="C206" s="376" t="s">
        <v>1244</v>
      </c>
      <c r="D206" s="2482"/>
      <c r="E206" s="2224"/>
      <c r="F206" s="2403"/>
      <c r="G206" s="2447"/>
      <c r="H206" s="1507"/>
      <c r="I206" s="658" t="s">
        <v>1243</v>
      </c>
      <c r="J206" s="578"/>
      <c r="K206" s="1507"/>
      <c r="L206" s="221"/>
      <c r="M206" s="348"/>
      <c r="N206" s="341"/>
      <c r="O206" s="1631"/>
      <c r="P206" s="1631"/>
      <c r="AH206" s="1638">
        <v>0</v>
      </c>
    </row>
    <row s="1642" customFormat="1" customHeight="1" ht="1.05">
      <c r="A207" s="1786"/>
      <c r="B207" s="1786"/>
      <c r="C207" s="376" t="s">
        <v>1251</v>
      </c>
      <c r="D207" s="2482"/>
      <c r="E207" s="2224"/>
      <c r="F207" s="2403"/>
      <c r="G207" s="407"/>
      <c r="H207" s="1507"/>
      <c r="I207" s="658"/>
      <c r="J207" s="578"/>
      <c r="K207" s="1507"/>
      <c r="L207" s="221"/>
      <c r="M207" s="348"/>
      <c r="N207" s="341"/>
      <c r="O207" s="1631"/>
      <c r="P207" s="1631"/>
      <c r="AH207" s="1638">
        <v>1</v>
      </c>
    </row>
    <row customHeight="1" ht="27.299999999999997">
      <c r="A208" s="1786"/>
      <c r="B208" s="1786"/>
      <c r="D208" s="383"/>
      <c r="E208" s="154" t="s">
        <v>111</v>
      </c>
      <c r="F208" s="24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0"/>
      <c r="H208" s="2480"/>
      <c r="I208" s="2480"/>
      <c r="J208" s="2480"/>
      <c r="K208" s="2480"/>
      <c r="L208" s="2480"/>
      <c r="M208" s="304"/>
      <c r="N208" s="341"/>
      <c r="AH208" s="381">
        <v>26</v>
      </c>
    </row>
    <row s="1642" customFormat="1" customHeight="1" ht="60.75" hidden="1">
      <c r="A209" s="1786" t="s">
        <v>156</v>
      </c>
      <c r="B209" s="1786" t="s">
        <v>157</v>
      </c>
      <c r="C209" s="376"/>
      <c r="D209" s="2482"/>
      <c r="E209" s="2224"/>
      <c r="F209" s="24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7" t="str">
        <f>INDEX(PT_DIFFERENTIATION_NTAR,MATCH(B209,PT_DIFFERENTIATION_NTAR_ID,0))</f>
        <v/>
      </c>
      <c r="H209" s="1866"/>
      <c r="I209" s="1745"/>
      <c r="J209" s="1779"/>
      <c r="K209" s="1784"/>
      <c r="L209" s="1866" t="s">
        <v>305</v>
      </c>
      <c r="M209"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6"/>
      <c r="B210" s="1786"/>
      <c r="C210" s="376" t="s">
        <v>1244</v>
      </c>
      <c r="D210" s="2482"/>
      <c r="E210" s="2224"/>
      <c r="F210" s="2403"/>
      <c r="G210" s="2447"/>
      <c r="H210" s="1507"/>
      <c r="I210" s="658" t="s">
        <v>1243</v>
      </c>
      <c r="J210" s="578"/>
      <c r="K210" s="1507"/>
      <c r="L210" s="221"/>
      <c r="M210" s="2190"/>
      <c r="N210" s="341"/>
      <c r="O210" s="1631"/>
      <c r="P210" s="1631"/>
      <c r="AH210" s="1638">
        <v>0</v>
      </c>
    </row>
    <row s="1642" customFormat="1" customHeight="1" ht="0.75" hidden="1">
      <c r="A211" s="1786"/>
      <c r="B211" s="1786"/>
      <c r="C211" s="376" t="s">
        <v>1251</v>
      </c>
      <c r="D211" s="2482"/>
      <c r="E211" s="2224"/>
      <c r="F211" s="2403"/>
      <c r="G211" s="407"/>
      <c r="H211" s="1507"/>
      <c r="I211" s="658"/>
      <c r="J211" s="578"/>
      <c r="K211" s="1507"/>
      <c r="L211" s="221"/>
      <c r="M211" s="2190"/>
      <c r="N211" s="341"/>
      <c r="O211" s="1631"/>
      <c r="P211" s="1631"/>
      <c r="AH211" s="1638">
        <v>0</v>
      </c>
    </row>
    <row s="1642" customFormat="1" customHeight="1" ht="45" hidden="1">
      <c r="A212" s="1786" t="s">
        <v>161</v>
      </c>
      <c r="B212" s="1786" t="s">
        <v>162</v>
      </c>
      <c r="C212" s="376"/>
      <c r="D212" s="2482"/>
      <c r="E212" s="2224"/>
      <c r="F212" s="2403" t="str">
        <f>INDEX(PT_DIFFERENTIATION_VTAR,MATCH(A212,PT_DIFFERENTIATION_VTAR_ID,0))</f>
        <v/>
      </c>
      <c r="G212" s="2447" t="str">
        <f>INDEX(PT_DIFFERENTIATION_NTAR,MATCH(B212,PT_DIFFERENTIATION_NTAR_ID,0))</f>
        <v/>
      </c>
      <c r="H212" s="1866"/>
      <c r="I212" s="1745"/>
      <c r="J212" s="1779"/>
      <c r="K212" s="1784"/>
      <c r="L212" s="1866" t="s">
        <v>305</v>
      </c>
      <c r="M212" s="2191"/>
      <c r="N212" s="341"/>
      <c r="O212" s="1631"/>
      <c r="P212" s="1631"/>
      <c r="AH212" s="1638">
        <v>0</v>
      </c>
    </row>
    <row s="1642" customFormat="1" customHeight="1" ht="18.75" hidden="1">
      <c r="A213" s="1786"/>
      <c r="B213" s="1786"/>
      <c r="C213" s="376" t="s">
        <v>1244</v>
      </c>
      <c r="D213" s="2482"/>
      <c r="E213" s="2224"/>
      <c r="F213" s="2403"/>
      <c r="G213" s="2447"/>
      <c r="H213" s="1507"/>
      <c r="I213" s="658" t="s">
        <v>1243</v>
      </c>
      <c r="J213" s="578"/>
      <c r="K213" s="1507"/>
      <c r="L213" s="221"/>
      <c r="M213" s="1865"/>
      <c r="N213" s="341"/>
      <c r="O213" s="1631"/>
      <c r="P213" s="1631"/>
      <c r="AH213" s="1638">
        <v>0</v>
      </c>
    </row>
    <row s="1642" customFormat="1" customHeight="1" ht="0.75" hidden="1">
      <c r="A214" s="1786"/>
      <c r="B214" s="1786"/>
      <c r="C214" s="376" t="s">
        <v>1251</v>
      </c>
      <c r="D214" s="2482"/>
      <c r="E214" s="2224"/>
      <c r="F214" s="2403"/>
      <c r="G214" s="407"/>
      <c r="H214" s="1507"/>
      <c r="I214" s="658"/>
      <c r="J214" s="578"/>
      <c r="K214" s="1507"/>
      <c r="L214" s="221"/>
      <c r="M214" s="348"/>
      <c r="N214" s="341"/>
      <c r="O214" s="1631"/>
      <c r="P214" s="1631"/>
      <c r="AH214" s="1638">
        <v>0</v>
      </c>
    </row>
    <row s="1642" customFormat="1" customHeight="1" ht="45" hidden="1">
      <c r="A215" s="1786" t="s">
        <v>168</v>
      </c>
      <c r="B215" s="1786" t="s">
        <v>169</v>
      </c>
      <c r="C215" s="376"/>
      <c r="D215" s="2482"/>
      <c r="E215" s="2224"/>
      <c r="F215" s="24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7" t="str">
        <f>INDEX(PT_DIFFERENTIATION_NTAR,MATCH(B215,PT_DIFFERENTIATION_NTAR_ID,0))</f>
        <v/>
      </c>
      <c r="H215" s="1866"/>
      <c r="I215" s="1745"/>
      <c r="J215" s="1779"/>
      <c r="K215" s="1784"/>
      <c r="L215" s="1866" t="s">
        <v>305</v>
      </c>
      <c r="M215" s="348"/>
      <c r="N215" s="341"/>
      <c r="O215" s="1631"/>
      <c r="P215" s="1631"/>
      <c r="AH215" s="1638">
        <v>0</v>
      </c>
    </row>
    <row s="1642" customFormat="1" customHeight="1" ht="18.75" hidden="1">
      <c r="A216" s="1786"/>
      <c r="B216" s="1786"/>
      <c r="C216" s="376" t="s">
        <v>1244</v>
      </c>
      <c r="D216" s="2482"/>
      <c r="E216" s="2224"/>
      <c r="F216" s="2403"/>
      <c r="G216" s="2447"/>
      <c r="H216" s="1507"/>
      <c r="I216" s="658" t="s">
        <v>1243</v>
      </c>
      <c r="J216" s="578"/>
      <c r="K216" s="1507"/>
      <c r="L216" s="221"/>
      <c r="M216" s="348"/>
      <c r="N216" s="341"/>
      <c r="O216" s="1631"/>
      <c r="P216" s="1631"/>
      <c r="AH216" s="1638">
        <v>0</v>
      </c>
    </row>
    <row s="1642" customFormat="1" customHeight="1" ht="0.75" hidden="1">
      <c r="A217" s="1786"/>
      <c r="B217" s="1786"/>
      <c r="C217" s="376" t="s">
        <v>1251</v>
      </c>
      <c r="D217" s="2482"/>
      <c r="E217" s="2224"/>
      <c r="F217" s="2403"/>
      <c r="G217" s="407"/>
      <c r="H217" s="1507"/>
      <c r="I217" s="658"/>
      <c r="J217" s="578"/>
      <c r="K217" s="1507"/>
      <c r="L217" s="221"/>
      <c r="M217" s="348"/>
      <c r="N217" s="341"/>
      <c r="O217" s="1631"/>
      <c r="P217" s="1631"/>
      <c r="AH217" s="1638">
        <v>0</v>
      </c>
    </row>
    <row s="1642" customFormat="1" customHeight="1" ht="45" hidden="1">
      <c r="A218" s="1786" t="s">
        <v>174</v>
      </c>
      <c r="B218" s="1786" t="s">
        <v>175</v>
      </c>
      <c r="C218" s="376"/>
      <c r="D218" s="2482"/>
      <c r="E218" s="2224"/>
      <c r="F218" s="24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7" t="str">
        <f>INDEX(PT_DIFFERENTIATION_NTAR,MATCH(B218,PT_DIFFERENTIATION_NTAR_ID,0))</f>
        <v/>
      </c>
      <c r="H218" s="1866"/>
      <c r="I218" s="1745"/>
      <c r="J218" s="1779"/>
      <c r="K218" s="1784"/>
      <c r="L218" s="1866" t="s">
        <v>305</v>
      </c>
      <c r="M218" s="348"/>
      <c r="N218" s="341"/>
      <c r="O218" s="1631"/>
      <c r="P218" s="1631"/>
      <c r="AH218" s="1638">
        <v>0</v>
      </c>
    </row>
    <row s="1642" customFormat="1" customHeight="1" ht="18.75" hidden="1">
      <c r="A219" s="1786"/>
      <c r="B219" s="1786"/>
      <c r="C219" s="376" t="s">
        <v>1244</v>
      </c>
      <c r="D219" s="2482"/>
      <c r="E219" s="2224"/>
      <c r="F219" s="2403"/>
      <c r="G219" s="2447"/>
      <c r="H219" s="1507"/>
      <c r="I219" s="658" t="s">
        <v>1243</v>
      </c>
      <c r="J219" s="578"/>
      <c r="K219" s="1507"/>
      <c r="L219" s="221"/>
      <c r="M219" s="348"/>
      <c r="N219" s="341"/>
      <c r="O219" s="1631"/>
      <c r="P219" s="1631"/>
      <c r="AH219" s="1638">
        <v>0</v>
      </c>
    </row>
    <row s="1642" customFormat="1" customHeight="1" ht="0.75" hidden="1">
      <c r="A220" s="1786"/>
      <c r="B220" s="1786"/>
      <c r="C220" s="376" t="s">
        <v>1251</v>
      </c>
      <c r="D220" s="2482"/>
      <c r="E220" s="2224"/>
      <c r="F220" s="2403"/>
      <c r="G220" s="407"/>
      <c r="H220" s="1507"/>
      <c r="I220" s="658"/>
      <c r="J220" s="578"/>
      <c r="K220" s="1507"/>
      <c r="L220" s="221"/>
      <c r="M220" s="348"/>
      <c r="N220" s="341"/>
      <c r="O220" s="1631"/>
      <c r="P220" s="1631"/>
      <c r="AH220" s="1638">
        <v>0</v>
      </c>
    </row>
    <row s="1642" customFormat="1" customHeight="1" ht="18.75" hidden="1">
      <c r="A221" s="1786" t="s">
        <v>180</v>
      </c>
      <c r="B221" s="1786" t="s">
        <v>181</v>
      </c>
      <c r="C221" s="376"/>
      <c r="D221" s="2482"/>
      <c r="E221" s="2224"/>
      <c r="F221" s="2403" t="str">
        <f>INDEX(PT_DIFFERENTIATION_VTAR,MATCH(A221,PT_DIFFERENTIATION_VTAR_ID,0))</f>
        <v>Тарифы на услуги по передаче тепловой энергии</v>
      </c>
      <c r="G221" s="2447" t="str">
        <f>INDEX(PT_DIFFERENTIATION_NTAR,MATCH(B221,PT_DIFFERENTIATION_NTAR_ID,0))</f>
        <v/>
      </c>
      <c r="H221" s="1866"/>
      <c r="I221" s="1745"/>
      <c r="J221" s="1779"/>
      <c r="K221" s="1784"/>
      <c r="L221" s="1866" t="s">
        <v>305</v>
      </c>
      <c r="M221" s="348"/>
      <c r="N221" s="341"/>
      <c r="O221" s="1631"/>
      <c r="P221" s="1631"/>
      <c r="AH221" s="1638">
        <v>0</v>
      </c>
    </row>
    <row s="1642" customFormat="1" customHeight="1" ht="18.75" hidden="1">
      <c r="A222" s="1786"/>
      <c r="B222" s="1786"/>
      <c r="C222" s="376" t="s">
        <v>1244</v>
      </c>
      <c r="D222" s="2482"/>
      <c r="E222" s="2224"/>
      <c r="F222" s="2403"/>
      <c r="G222" s="2447"/>
      <c r="H222" s="1507"/>
      <c r="I222" s="658" t="s">
        <v>1243</v>
      </c>
      <c r="J222" s="578"/>
      <c r="K222" s="1507"/>
      <c r="L222" s="221"/>
      <c r="M222" s="348"/>
      <c r="N222" s="341"/>
      <c r="O222" s="1631"/>
      <c r="P222" s="1631"/>
      <c r="AH222" s="1638">
        <v>0</v>
      </c>
    </row>
    <row s="1642" customFormat="1" customHeight="1" ht="0.75" hidden="1">
      <c r="A223" s="1786"/>
      <c r="B223" s="1786"/>
      <c r="C223" s="376" t="s">
        <v>1251</v>
      </c>
      <c r="D223" s="2482"/>
      <c r="E223" s="2224"/>
      <c r="F223" s="2403"/>
      <c r="G223" s="407"/>
      <c r="H223" s="1507"/>
      <c r="I223" s="658"/>
      <c r="J223" s="578"/>
      <c r="K223" s="1507"/>
      <c r="L223" s="221"/>
      <c r="M223" s="348"/>
      <c r="N223" s="341"/>
      <c r="O223" s="1631"/>
      <c r="P223" s="1631"/>
      <c r="AH223" s="1638">
        <v>0</v>
      </c>
    </row>
    <row s="1642" customFormat="1" customHeight="1" ht="18.75" hidden="1">
      <c r="A224" s="1786" t="s">
        <v>186</v>
      </c>
      <c r="B224" s="1786" t="s">
        <v>187</v>
      </c>
      <c r="C224" s="376"/>
      <c r="D224" s="2482"/>
      <c r="E224" s="2224"/>
      <c r="F224" s="2403" t="str">
        <f>INDEX(PT_DIFFERENTIATION_VTAR,MATCH(A224,PT_DIFFERENTIATION_VTAR_ID,0))</f>
        <v>Тарифы на услуги по передаче теплоносителя</v>
      </c>
      <c r="G224" s="2447" t="str">
        <f>INDEX(PT_DIFFERENTIATION_NTAR,MATCH(B224,PT_DIFFERENTIATION_NTAR_ID,0))</f>
        <v/>
      </c>
      <c r="H224" s="1866"/>
      <c r="I224" s="1745"/>
      <c r="J224" s="1779"/>
      <c r="K224" s="1784"/>
      <c r="L224" s="1866" t="s">
        <v>305</v>
      </c>
      <c r="M224" s="348"/>
      <c r="N224" s="341"/>
      <c r="O224" s="1631"/>
      <c r="P224" s="1631"/>
      <c r="AH224" s="1638">
        <v>0</v>
      </c>
    </row>
    <row s="1642" customFormat="1" customHeight="1" ht="18.75" hidden="1">
      <c r="A225" s="1786"/>
      <c r="B225" s="1786"/>
      <c r="C225" s="376" t="s">
        <v>1244</v>
      </c>
      <c r="D225" s="2482"/>
      <c r="E225" s="2224"/>
      <c r="F225" s="2403"/>
      <c r="G225" s="2447"/>
      <c r="H225" s="1507"/>
      <c r="I225" s="658" t="s">
        <v>1243</v>
      </c>
      <c r="J225" s="578"/>
      <c r="K225" s="1507"/>
      <c r="L225" s="221"/>
      <c r="M225" s="348"/>
      <c r="N225" s="341"/>
      <c r="O225" s="1631"/>
      <c r="P225" s="1631"/>
      <c r="AH225" s="1638">
        <v>0</v>
      </c>
    </row>
    <row s="1642" customFormat="1" customHeight="1" ht="0.75" hidden="1">
      <c r="A226" s="1786"/>
      <c r="B226" s="1786"/>
      <c r="C226" s="376" t="s">
        <v>1251</v>
      </c>
      <c r="D226" s="2482"/>
      <c r="E226" s="2224"/>
      <c r="F226" s="2403"/>
      <c r="G226" s="407"/>
      <c r="H226" s="1507"/>
      <c r="I226" s="658"/>
      <c r="J226" s="578"/>
      <c r="K226" s="1507"/>
      <c r="L226" s="221"/>
      <c r="M226" s="348"/>
      <c r="N226" s="341"/>
      <c r="O226" s="1631"/>
      <c r="P226" s="1631"/>
      <c r="AH226" s="1638">
        <v>0</v>
      </c>
    </row>
    <row s="1642" customFormat="1" customHeight="1" ht="18.75" hidden="1">
      <c r="A227" s="1786" t="s">
        <v>192</v>
      </c>
      <c r="B227" s="1786" t="s">
        <v>193</v>
      </c>
      <c r="C227" s="376"/>
      <c r="D227" s="2482"/>
      <c r="E227" s="2224"/>
      <c r="F227" s="24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7" t="str">
        <f>INDEX(PT_DIFFERENTIATION_NTAR,MATCH(B227,PT_DIFFERENTIATION_NTAR_ID,0))</f>
        <v/>
      </c>
      <c r="H227" s="1866"/>
      <c r="I227" s="1745"/>
      <c r="J227" s="1779"/>
      <c r="K227" s="1784"/>
      <c r="L227" s="1866" t="s">
        <v>305</v>
      </c>
      <c r="M227" s="348"/>
      <c r="N227" s="341"/>
      <c r="O227" s="1631"/>
      <c r="P227" s="1631"/>
      <c r="AH227" s="1638">
        <v>0</v>
      </c>
    </row>
    <row s="1642" customFormat="1" customHeight="1" ht="18.75" hidden="1">
      <c r="A228" s="1786"/>
      <c r="B228" s="1786"/>
      <c r="C228" s="376" t="s">
        <v>1244</v>
      </c>
      <c r="D228" s="2482"/>
      <c r="E228" s="2224"/>
      <c r="F228" s="2403"/>
      <c r="G228" s="2447"/>
      <c r="H228" s="1507"/>
      <c r="I228" s="658" t="s">
        <v>1243</v>
      </c>
      <c r="J228" s="578"/>
      <c r="K228" s="1507"/>
      <c r="L228" s="221"/>
      <c r="M228" s="348"/>
      <c r="N228" s="341"/>
      <c r="O228" s="1631"/>
      <c r="P228" s="1631"/>
      <c r="AH228" s="1638">
        <v>0</v>
      </c>
    </row>
    <row s="1642" customFormat="1" customHeight="1" ht="0.75" hidden="1">
      <c r="A229" s="1786"/>
      <c r="B229" s="1786"/>
      <c r="C229" s="376" t="s">
        <v>1251</v>
      </c>
      <c r="D229" s="2482"/>
      <c r="E229" s="2224"/>
      <c r="F229" s="2403"/>
      <c r="G229" s="407"/>
      <c r="H229" s="1507"/>
      <c r="I229" s="658"/>
      <c r="J229" s="578"/>
      <c r="K229" s="1507"/>
      <c r="L229" s="221"/>
      <c r="M229" s="348"/>
      <c r="N229" s="341"/>
      <c r="O229" s="1631"/>
      <c r="P229" s="1631"/>
      <c r="AH229" s="1638">
        <v>0</v>
      </c>
    </row>
    <row s="1642" customFormat="1" customHeight="1" ht="18.75" hidden="1">
      <c r="A230" s="1786" t="s">
        <v>198</v>
      </c>
      <c r="B230" s="1786" t="s">
        <v>199</v>
      </c>
      <c r="C230" s="376"/>
      <c r="D230" s="2482"/>
      <c r="E230" s="2224"/>
      <c r="F230" s="2403" t="str">
        <f>INDEX(PT_DIFFERENTIATION_VTAR,MATCH(A230,PT_DIFFERENTIATION_VTAR_ID,0))</f>
        <v>Плата за подключение (технологическое присоединение) к системе теплоснабжения</v>
      </c>
      <c r="G230" s="2447" t="str">
        <f>INDEX(PT_DIFFERENTIATION_NTAR,MATCH(B230,PT_DIFFERENTIATION_NTAR_ID,0))</f>
        <v/>
      </c>
      <c r="H230" s="1866"/>
      <c r="I230" s="1745"/>
      <c r="J230" s="1779"/>
      <c r="K230" s="1784"/>
      <c r="L230" s="1866" t="s">
        <v>305</v>
      </c>
      <c r="M230" s="348"/>
      <c r="N230" s="341"/>
      <c r="O230" s="1631"/>
      <c r="P230" s="1631"/>
      <c r="AH230" s="1638">
        <v>0</v>
      </c>
    </row>
    <row s="1642" customFormat="1" customHeight="1" ht="18.75" hidden="1">
      <c r="A231" s="1786"/>
      <c r="B231" s="1786"/>
      <c r="C231" s="376" t="s">
        <v>1244</v>
      </c>
      <c r="D231" s="2482"/>
      <c r="E231" s="2224"/>
      <c r="F231" s="2403"/>
      <c r="G231" s="2447"/>
      <c r="H231" s="1507"/>
      <c r="I231" s="658" t="s">
        <v>1243</v>
      </c>
      <c r="J231" s="578"/>
      <c r="K231" s="1507"/>
      <c r="L231" s="221"/>
      <c r="M231" s="348"/>
      <c r="N231" s="341"/>
      <c r="O231" s="1631"/>
      <c r="P231" s="1631"/>
      <c r="AH231" s="1638">
        <v>0</v>
      </c>
    </row>
    <row s="1642" customFormat="1" customHeight="1" ht="0.75" hidden="1">
      <c r="A232" s="1786"/>
      <c r="B232" s="1786"/>
      <c r="C232" s="376" t="s">
        <v>1251</v>
      </c>
      <c r="D232" s="2482"/>
      <c r="E232" s="2224"/>
      <c r="F232" s="2403"/>
      <c r="G232" s="407"/>
      <c r="H232" s="1507"/>
      <c r="I232" s="658"/>
      <c r="J232" s="578"/>
      <c r="K232" s="1507"/>
      <c r="L232" s="221"/>
      <c r="M232" s="348"/>
      <c r="N232" s="341"/>
      <c r="O232" s="1631"/>
      <c r="P232" s="1631"/>
      <c r="AH232" s="1638">
        <v>0</v>
      </c>
    </row>
    <row s="1642" customFormat="1" customHeight="1" ht="18.75" hidden="1">
      <c r="A233" s="1786" t="s">
        <v>204</v>
      </c>
      <c r="B233" s="1786" t="s">
        <v>205</v>
      </c>
      <c r="C233" s="376"/>
      <c r="D233" s="2482"/>
      <c r="E233" s="2224"/>
      <c r="F233" s="2403" t="str">
        <f>INDEX(PT_DIFFERENTIATION_VTAR,MATCH(A233,PT_DIFFERENTIATION_VTAR_ID,0))</f>
        <v>Плата за подключение (технологическое присоединение) к системе теплоснабжения (индивидуальная)</v>
      </c>
      <c r="G233" s="2447" t="str">
        <f>INDEX(PT_DIFFERENTIATION_NTAR,MATCH(B233,PT_DIFFERENTIATION_NTAR_ID,0))</f>
        <v/>
      </c>
      <c r="H233" s="1993"/>
      <c r="I233" s="1745"/>
      <c r="J233" s="1779"/>
      <c r="K233" s="1784"/>
      <c r="L233" s="1993" t="s">
        <v>305</v>
      </c>
      <c r="M233" s="348"/>
      <c r="N233" s="341"/>
      <c r="O233" s="1631"/>
      <c r="P233" s="1631"/>
      <c r="AH233" s="1638">
        <v>0</v>
      </c>
    </row>
    <row s="1642" customFormat="1" customHeight="1" ht="18.75" hidden="1">
      <c r="A234" s="1786"/>
      <c r="B234" s="1786"/>
      <c r="C234" s="376" t="s">
        <v>1244</v>
      </c>
      <c r="D234" s="2482"/>
      <c r="E234" s="2224"/>
      <c r="F234" s="2403"/>
      <c r="G234" s="2447"/>
      <c r="H234" s="1507"/>
      <c r="I234" s="658" t="s">
        <v>1243</v>
      </c>
      <c r="J234" s="578"/>
      <c r="K234" s="1507"/>
      <c r="L234" s="221"/>
      <c r="M234" s="348"/>
      <c r="N234" s="341"/>
      <c r="O234" s="1631"/>
      <c r="P234" s="1631"/>
      <c r="AH234" s="1638">
        <v>0</v>
      </c>
    </row>
    <row s="1642" customFormat="1" customHeight="1" ht="0.75" hidden="1">
      <c r="A235" s="1786"/>
      <c r="B235" s="1786"/>
      <c r="C235" s="376" t="s">
        <v>1251</v>
      </c>
      <c r="D235" s="2482"/>
      <c r="E235" s="2224"/>
      <c r="F235" s="2403"/>
      <c r="G235" s="407"/>
      <c r="H235" s="1507"/>
      <c r="I235" s="658"/>
      <c r="J235" s="578"/>
      <c r="K235" s="1507"/>
      <c r="L235" s="221"/>
      <c r="M235" s="348"/>
      <c r="N235" s="341"/>
      <c r="O235" s="1631"/>
      <c r="P235" s="1631"/>
      <c r="AH235" s="1638">
        <v>0</v>
      </c>
    </row>
    <row s="1642" customFormat="1" customHeight="1" ht="18.75" hidden="1">
      <c r="A236" s="1786" t="s">
        <v>224</v>
      </c>
      <c r="B236" s="1786" t="s">
        <v>225</v>
      </c>
      <c r="C236" s="376"/>
      <c r="D236" s="2482"/>
      <c r="E236" s="2224"/>
      <c r="F236" s="2403" t="str">
        <f>INDEX(PT_DIFFERENTIATION_VTAR,MATCH(A236,PT_DIFFERENTIATION_VTAR_ID,0))</f>
        <v>Тариф на питьевую воду (питьевое водоснабжение)</v>
      </c>
      <c r="G236" s="2447" t="str">
        <f>INDEX(PT_DIFFERENTIATION_NTAR,MATCH(B236,PT_DIFFERENTIATION_NTAR_ID,0))</f>
        <v/>
      </c>
      <c r="H236" s="1866"/>
      <c r="I236" s="1745"/>
      <c r="J236" s="1779"/>
      <c r="K236" s="1784"/>
      <c r="L236" s="1866" t="s">
        <v>305</v>
      </c>
      <c r="M236" s="348"/>
      <c r="N236" s="341"/>
      <c r="O236" s="1631"/>
      <c r="P236" s="1631"/>
      <c r="AH236" s="1638">
        <v>0</v>
      </c>
    </row>
    <row s="1642" customFormat="1" customHeight="1" ht="18.75" hidden="1">
      <c r="A237" s="1786"/>
      <c r="B237" s="1786"/>
      <c r="C237" s="376" t="s">
        <v>1244</v>
      </c>
      <c r="D237" s="2482"/>
      <c r="E237" s="2224"/>
      <c r="F237" s="2403"/>
      <c r="G237" s="2447"/>
      <c r="H237" s="1507"/>
      <c r="I237" s="658" t="s">
        <v>1243</v>
      </c>
      <c r="J237" s="578"/>
      <c r="K237" s="1507"/>
      <c r="L237" s="221"/>
      <c r="M237" s="348"/>
      <c r="N237" s="341"/>
      <c r="O237" s="1631"/>
      <c r="P237" s="1631"/>
      <c r="AH237" s="1638">
        <v>0</v>
      </c>
    </row>
    <row s="1642" customFormat="1" customHeight="1" ht="0.75" hidden="1">
      <c r="A238" s="1786"/>
      <c r="B238" s="1786"/>
      <c r="C238" s="376" t="s">
        <v>1251</v>
      </c>
      <c r="D238" s="2482"/>
      <c r="E238" s="2224"/>
      <c r="F238" s="2403"/>
      <c r="G238" s="407"/>
      <c r="H238" s="1507"/>
      <c r="I238" s="658"/>
      <c r="J238" s="578"/>
      <c r="K238" s="1507"/>
      <c r="L238" s="221"/>
      <c r="M238" s="348"/>
      <c r="N238" s="341"/>
      <c r="O238" s="1631"/>
      <c r="P238" s="1631"/>
      <c r="AH238" s="1638">
        <v>0</v>
      </c>
    </row>
    <row s="1642" customFormat="1" customHeight="1" ht="18.75" hidden="1">
      <c r="A239" s="1786" t="s">
        <v>229</v>
      </c>
      <c r="B239" s="1786" t="s">
        <v>230</v>
      </c>
      <c r="C239" s="376"/>
      <c r="D239" s="2482"/>
      <c r="E239" s="2224"/>
      <c r="F239" s="2403" t="str">
        <f>INDEX(PT_DIFFERENTIATION_VTAR,MATCH(A239,PT_DIFFERENTIATION_VTAR_ID,0))</f>
        <v>Тариф на техническую воду</v>
      </c>
      <c r="G239" s="2447" t="str">
        <f>INDEX(PT_DIFFERENTIATION_NTAR,MATCH(B239,PT_DIFFERENTIATION_NTAR_ID,0))</f>
        <v/>
      </c>
      <c r="H239" s="1866"/>
      <c r="I239" s="1745"/>
      <c r="J239" s="1779"/>
      <c r="K239" s="1784"/>
      <c r="L239" s="1866" t="s">
        <v>305</v>
      </c>
      <c r="M239" s="348"/>
      <c r="N239" s="341"/>
      <c r="O239" s="1631"/>
      <c r="P239" s="1631"/>
      <c r="AH239" s="1638">
        <v>0</v>
      </c>
    </row>
    <row s="1642" customFormat="1" customHeight="1" ht="18.75" hidden="1">
      <c r="A240" s="1786"/>
      <c r="B240" s="1786"/>
      <c r="C240" s="376" t="s">
        <v>1244</v>
      </c>
      <c r="D240" s="2482"/>
      <c r="E240" s="2224"/>
      <c r="F240" s="2403"/>
      <c r="G240" s="2447"/>
      <c r="H240" s="1507"/>
      <c r="I240" s="658" t="s">
        <v>1243</v>
      </c>
      <c r="J240" s="578"/>
      <c r="K240" s="1507"/>
      <c r="L240" s="221"/>
      <c r="M240" s="348"/>
      <c r="N240" s="341"/>
      <c r="O240" s="1631"/>
      <c r="P240" s="1631"/>
      <c r="AH240" s="1638">
        <v>0</v>
      </c>
    </row>
    <row s="1642" customFormat="1" customHeight="1" ht="0.75" hidden="1">
      <c r="A241" s="1786"/>
      <c r="B241" s="1786"/>
      <c r="C241" s="376" t="s">
        <v>1251</v>
      </c>
      <c r="D241" s="2482"/>
      <c r="E241" s="2224"/>
      <c r="F241" s="2403"/>
      <c r="G241" s="407"/>
      <c r="H241" s="1507"/>
      <c r="I241" s="658"/>
      <c r="J241" s="578"/>
      <c r="K241" s="1507"/>
      <c r="L241" s="221"/>
      <c r="M241" s="348"/>
      <c r="N241" s="341"/>
      <c r="O241" s="1631"/>
      <c r="P241" s="1631"/>
      <c r="AH241" s="1638">
        <v>0</v>
      </c>
    </row>
    <row s="1642" customFormat="1" customHeight="1" ht="18.75" hidden="1">
      <c r="A242" s="1786" t="s">
        <v>234</v>
      </c>
      <c r="B242" s="1786" t="s">
        <v>235</v>
      </c>
      <c r="C242" s="376"/>
      <c r="D242" s="2482"/>
      <c r="E242" s="2224"/>
      <c r="F242" s="2403" t="str">
        <f>INDEX(PT_DIFFERENTIATION_VTAR,MATCH(A242,PT_DIFFERENTIATION_VTAR_ID,0))</f>
        <v>Тариф на транспортировку воды</v>
      </c>
      <c r="G242" s="2447" t="str">
        <f>INDEX(PT_DIFFERENTIATION_NTAR,MATCH(B242,PT_DIFFERENTIATION_NTAR_ID,0))</f>
        <v/>
      </c>
      <c r="H242" s="1866"/>
      <c r="I242" s="1745"/>
      <c r="J242" s="1779"/>
      <c r="K242" s="1784"/>
      <c r="L242" s="1866" t="s">
        <v>305</v>
      </c>
      <c r="M242" s="348"/>
      <c r="N242" s="341"/>
      <c r="O242" s="1631"/>
      <c r="P242" s="1631"/>
      <c r="AH242" s="1638">
        <v>0</v>
      </c>
    </row>
    <row s="1642" customFormat="1" customHeight="1" ht="18.75" hidden="1">
      <c r="A243" s="1786"/>
      <c r="B243" s="1786"/>
      <c r="C243" s="376" t="s">
        <v>1244</v>
      </c>
      <c r="D243" s="2482"/>
      <c r="E243" s="2224"/>
      <c r="F243" s="2403"/>
      <c r="G243" s="2447"/>
      <c r="H243" s="1507"/>
      <c r="I243" s="658" t="s">
        <v>1243</v>
      </c>
      <c r="J243" s="578"/>
      <c r="K243" s="1507"/>
      <c r="L243" s="221"/>
      <c r="M243" s="348"/>
      <c r="N243" s="341"/>
      <c r="O243" s="1631"/>
      <c r="P243" s="1631"/>
      <c r="AH243" s="1638">
        <v>0</v>
      </c>
    </row>
    <row s="1642" customFormat="1" customHeight="1" ht="0.75" hidden="1">
      <c r="A244" s="1786"/>
      <c r="B244" s="1786"/>
      <c r="C244" s="376" t="s">
        <v>1251</v>
      </c>
      <c r="D244" s="2482"/>
      <c r="E244" s="2224"/>
      <c r="F244" s="2403"/>
      <c r="G244" s="407"/>
      <c r="H244" s="1507"/>
      <c r="I244" s="658"/>
      <c r="J244" s="578"/>
      <c r="K244" s="1507"/>
      <c r="L244" s="221"/>
      <c r="M244" s="348"/>
      <c r="N244" s="341"/>
      <c r="O244" s="1631"/>
      <c r="P244" s="1631"/>
      <c r="AH244" s="1638">
        <v>0</v>
      </c>
    </row>
    <row s="1642" customFormat="1" customHeight="1" ht="18.75" hidden="1">
      <c r="A245" s="1786" t="s">
        <v>239</v>
      </c>
      <c r="B245" s="1786" t="s">
        <v>240</v>
      </c>
      <c r="C245" s="376"/>
      <c r="D245" s="2482"/>
      <c r="E245" s="2224"/>
      <c r="F245" s="2403" t="str">
        <f>INDEX(PT_DIFFERENTIATION_VTAR,MATCH(A245,PT_DIFFERENTIATION_VTAR_ID,0))</f>
        <v>Тариф на подвоз воды</v>
      </c>
      <c r="G245" s="2447" t="str">
        <f>INDEX(PT_DIFFERENTIATION_NTAR,MATCH(B245,PT_DIFFERENTIATION_NTAR_ID,0))</f>
        <v/>
      </c>
      <c r="H245" s="1866"/>
      <c r="I245" s="1745"/>
      <c r="J245" s="1779"/>
      <c r="K245" s="1784"/>
      <c r="L245" s="1866" t="s">
        <v>305</v>
      </c>
      <c r="M245" s="348"/>
      <c r="N245" s="341"/>
      <c r="O245" s="1631"/>
      <c r="P245" s="1631"/>
      <c r="AH245" s="1638">
        <v>0</v>
      </c>
    </row>
    <row s="1642" customFormat="1" customHeight="1" ht="18.75" hidden="1">
      <c r="A246" s="1786"/>
      <c r="B246" s="1786"/>
      <c r="C246" s="376" t="s">
        <v>1244</v>
      </c>
      <c r="D246" s="2482"/>
      <c r="E246" s="2224"/>
      <c r="F246" s="2403"/>
      <c r="G246" s="2447"/>
      <c r="H246" s="1507"/>
      <c r="I246" s="658" t="s">
        <v>1243</v>
      </c>
      <c r="J246" s="578"/>
      <c r="K246" s="1507"/>
      <c r="L246" s="221"/>
      <c r="M246" s="348"/>
      <c r="N246" s="341"/>
      <c r="O246" s="1631"/>
      <c r="P246" s="1631"/>
      <c r="AH246" s="1638">
        <v>0</v>
      </c>
    </row>
    <row s="1642" customFormat="1" customHeight="1" ht="0.75" hidden="1">
      <c r="A247" s="1786"/>
      <c r="B247" s="1786"/>
      <c r="C247" s="376" t="s">
        <v>1251</v>
      </c>
      <c r="D247" s="2482"/>
      <c r="E247" s="2224"/>
      <c r="F247" s="2403"/>
      <c r="G247" s="407"/>
      <c r="H247" s="1507"/>
      <c r="I247" s="658"/>
      <c r="J247" s="578"/>
      <c r="K247" s="1507"/>
      <c r="L247" s="221"/>
      <c r="M247" s="348"/>
      <c r="N247" s="341"/>
      <c r="O247" s="1631"/>
      <c r="P247" s="1631"/>
      <c r="AH247" s="1638">
        <v>0</v>
      </c>
    </row>
    <row s="1642" customFormat="1" customHeight="1" ht="18.75" hidden="1">
      <c r="A248" s="1786" t="s">
        <v>244</v>
      </c>
      <c r="B248" s="1786" t="s">
        <v>245</v>
      </c>
      <c r="C248" s="376"/>
      <c r="D248" s="2482"/>
      <c r="E248" s="2224"/>
      <c r="F248" s="24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7" t="str">
        <f>INDEX(PT_DIFFERENTIATION_NTAR,MATCH(B248,PT_DIFFERENTIATION_NTAR_ID,0))</f>
        <v/>
      </c>
      <c r="H248" s="1866"/>
      <c r="I248" s="1745"/>
      <c r="J248" s="1779"/>
      <c r="K248" s="1784"/>
      <c r="L248" s="1866" t="s">
        <v>305</v>
      </c>
      <c r="M248" s="348"/>
      <c r="N248" s="341"/>
      <c r="O248" s="1631"/>
      <c r="P248" s="1631"/>
      <c r="AH248" s="1638">
        <v>0</v>
      </c>
    </row>
    <row s="1642" customFormat="1" customHeight="1" ht="18.75" hidden="1">
      <c r="A249" s="1786"/>
      <c r="B249" s="1786"/>
      <c r="C249" s="376" t="s">
        <v>1244</v>
      </c>
      <c r="D249" s="2482"/>
      <c r="E249" s="2224"/>
      <c r="F249" s="2403"/>
      <c r="G249" s="2447"/>
      <c r="H249" s="1507"/>
      <c r="I249" s="658" t="s">
        <v>1243</v>
      </c>
      <c r="J249" s="578"/>
      <c r="K249" s="1507"/>
      <c r="L249" s="221"/>
      <c r="M249" s="348"/>
      <c r="N249" s="341"/>
      <c r="O249" s="1631"/>
      <c r="P249" s="1631"/>
      <c r="AH249" s="1638">
        <v>0</v>
      </c>
    </row>
    <row s="1642" customFormat="1" customHeight="1" ht="0.75" hidden="1">
      <c r="A250" s="1786"/>
      <c r="B250" s="1786"/>
      <c r="C250" s="376" t="s">
        <v>1251</v>
      </c>
      <c r="D250" s="2482"/>
      <c r="E250" s="2224"/>
      <c r="F250" s="2403"/>
      <c r="G250" s="407"/>
      <c r="H250" s="1507"/>
      <c r="I250" s="658"/>
      <c r="J250" s="578"/>
      <c r="K250" s="1507"/>
      <c r="L250" s="221"/>
      <c r="M250" s="348"/>
      <c r="N250" s="341"/>
      <c r="O250" s="1631"/>
      <c r="P250" s="1631"/>
      <c r="AH250" s="1638">
        <v>0</v>
      </c>
    </row>
    <row s="1642" customFormat="1" customHeight="1" ht="18.75" hidden="1">
      <c r="A251" s="1786" t="s">
        <v>249</v>
      </c>
      <c r="B251" s="1786" t="s">
        <v>250</v>
      </c>
      <c r="C251" s="376"/>
      <c r="D251" s="2482"/>
      <c r="E251" s="2224"/>
      <c r="F251" s="2403" t="str">
        <f>INDEX(PT_DIFFERENTIATION_VTAR,MATCH(A251,PT_DIFFERENTIATION_VTAR_ID,0))</f>
        <v>Тариф на горячую воду (горячее водоснабжение)</v>
      </c>
      <c r="G251" s="2447" t="str">
        <f>INDEX(PT_DIFFERENTIATION_NTAR,MATCH(B251,PT_DIFFERENTIATION_NTAR_ID,0))</f>
        <v/>
      </c>
      <c r="H251" s="1866"/>
      <c r="I251" s="1745"/>
      <c r="J251" s="1779"/>
      <c r="K251" s="1784"/>
      <c r="L251" s="1866" t="s">
        <v>305</v>
      </c>
      <c r="M251" s="348"/>
      <c r="N251" s="341"/>
      <c r="O251" s="1631"/>
      <c r="P251" s="1631"/>
      <c r="AH251" s="1638">
        <v>0</v>
      </c>
    </row>
    <row s="1642" customFormat="1" customHeight="1" ht="18.75" hidden="1">
      <c r="A252" s="1786"/>
      <c r="B252" s="1786"/>
      <c r="C252" s="376" t="s">
        <v>1244</v>
      </c>
      <c r="D252" s="2482"/>
      <c r="E252" s="2224"/>
      <c r="F252" s="2403"/>
      <c r="G252" s="2447"/>
      <c r="H252" s="1507"/>
      <c r="I252" s="658" t="s">
        <v>1243</v>
      </c>
      <c r="J252" s="578"/>
      <c r="K252" s="1507"/>
      <c r="L252" s="221"/>
      <c r="M252" s="348"/>
      <c r="N252" s="341"/>
      <c r="O252" s="1631"/>
      <c r="P252" s="1631"/>
      <c r="AH252" s="1638">
        <v>0</v>
      </c>
    </row>
    <row s="1642" customFormat="1" customHeight="1" ht="0.75" hidden="1">
      <c r="A253" s="1786"/>
      <c r="B253" s="1786"/>
      <c r="C253" s="376" t="s">
        <v>1251</v>
      </c>
      <c r="D253" s="2482"/>
      <c r="E253" s="2224"/>
      <c r="F253" s="2403"/>
      <c r="G253" s="407"/>
      <c r="H253" s="1507"/>
      <c r="I253" s="658"/>
      <c r="J253" s="578"/>
      <c r="K253" s="1507"/>
      <c r="L253" s="221"/>
      <c r="M253" s="348"/>
      <c r="N253" s="341"/>
      <c r="O253" s="1631"/>
      <c r="P253" s="1631"/>
      <c r="AH253" s="1638">
        <v>0</v>
      </c>
    </row>
    <row s="1642" customFormat="1" customHeight="1" ht="18.75" hidden="1">
      <c r="A254" s="1786" t="s">
        <v>254</v>
      </c>
      <c r="B254" s="1786" t="s">
        <v>255</v>
      </c>
      <c r="C254" s="376"/>
      <c r="D254" s="2482"/>
      <c r="E254" s="2224"/>
      <c r="F254" s="2403" t="str">
        <f>INDEX(PT_DIFFERENTIATION_VTAR,MATCH(A254,PT_DIFFERENTIATION_VTAR_ID,0))</f>
        <v>Тариф на транспортировку горячей воды</v>
      </c>
      <c r="G254" s="2447" t="str">
        <f>INDEX(PT_DIFFERENTIATION_NTAR,MATCH(B254,PT_DIFFERENTIATION_NTAR_ID,0))</f>
        <v/>
      </c>
      <c r="H254" s="1866"/>
      <c r="I254" s="1745"/>
      <c r="J254" s="1779"/>
      <c r="K254" s="1784"/>
      <c r="L254" s="1866" t="s">
        <v>305</v>
      </c>
      <c r="M254" s="348"/>
      <c r="N254" s="341"/>
      <c r="O254" s="1631"/>
      <c r="P254" s="1631"/>
      <c r="AH254" s="1638">
        <v>0</v>
      </c>
    </row>
    <row s="1642" customFormat="1" customHeight="1" ht="18.75" hidden="1">
      <c r="A255" s="1786"/>
      <c r="B255" s="1786"/>
      <c r="C255" s="376" t="s">
        <v>1244</v>
      </c>
      <c r="D255" s="2482"/>
      <c r="E255" s="2224"/>
      <c r="F255" s="2403"/>
      <c r="G255" s="2447"/>
      <c r="H255" s="1507"/>
      <c r="I255" s="658" t="s">
        <v>1243</v>
      </c>
      <c r="J255" s="578"/>
      <c r="K255" s="1507"/>
      <c r="L255" s="221"/>
      <c r="M255" s="348"/>
      <c r="N255" s="341"/>
      <c r="O255" s="1631"/>
      <c r="P255" s="1631"/>
      <c r="AH255" s="1638">
        <v>0</v>
      </c>
    </row>
    <row s="1642" customFormat="1" customHeight="1" ht="0.75" hidden="1">
      <c r="A256" s="1786"/>
      <c r="B256" s="1786"/>
      <c r="C256" s="376" t="s">
        <v>1251</v>
      </c>
      <c r="D256" s="2482"/>
      <c r="E256" s="2224"/>
      <c r="F256" s="2403"/>
      <c r="G256" s="407"/>
      <c r="H256" s="1507"/>
      <c r="I256" s="658"/>
      <c r="J256" s="578"/>
      <c r="K256" s="1507"/>
      <c r="L256" s="221"/>
      <c r="M256" s="348"/>
      <c r="N256" s="341"/>
      <c r="O256" s="1631"/>
      <c r="P256" s="1631"/>
      <c r="AH256" s="1638">
        <v>0</v>
      </c>
    </row>
    <row s="1642" customFormat="1" customHeight="1" ht="18.75" hidden="1">
      <c r="A257" s="1786" t="s">
        <v>259</v>
      </c>
      <c r="B257" s="1786" t="s">
        <v>260</v>
      </c>
      <c r="C257" s="376"/>
      <c r="D257" s="2482"/>
      <c r="E257" s="2224"/>
      <c r="F257" s="24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7" t="str">
        <f>INDEX(PT_DIFFERENTIATION_NTAR,MATCH(B257,PT_DIFFERENTIATION_NTAR_ID,0))</f>
        <v/>
      </c>
      <c r="H257" s="1866"/>
      <c r="I257" s="1745"/>
      <c r="J257" s="1779"/>
      <c r="K257" s="1784"/>
      <c r="L257" s="1866" t="s">
        <v>305</v>
      </c>
      <c r="M257" s="348"/>
      <c r="N257" s="341"/>
      <c r="O257" s="1631"/>
      <c r="P257" s="1631"/>
      <c r="AH257" s="1638">
        <v>0</v>
      </c>
    </row>
    <row s="1642" customFormat="1" customHeight="1" ht="18.75" hidden="1">
      <c r="A258" s="1786"/>
      <c r="B258" s="1786"/>
      <c r="C258" s="376" t="s">
        <v>1244</v>
      </c>
      <c r="D258" s="2482"/>
      <c r="E258" s="2224"/>
      <c r="F258" s="2403"/>
      <c r="G258" s="2447"/>
      <c r="H258" s="1507"/>
      <c r="I258" s="658" t="s">
        <v>1243</v>
      </c>
      <c r="J258" s="578"/>
      <c r="K258" s="1507"/>
      <c r="L258" s="221"/>
      <c r="M258" s="348"/>
      <c r="N258" s="341"/>
      <c r="O258" s="1631"/>
      <c r="P258" s="1631"/>
      <c r="AH258" s="1638">
        <v>0</v>
      </c>
    </row>
    <row s="1642" customFormat="1" customHeight="1" ht="0.75" hidden="1">
      <c r="A259" s="1786"/>
      <c r="B259" s="1786"/>
      <c r="C259" s="376" t="s">
        <v>1251</v>
      </c>
      <c r="D259" s="2482"/>
      <c r="E259" s="2224"/>
      <c r="F259" s="2403"/>
      <c r="G259" s="407"/>
      <c r="H259" s="1507"/>
      <c r="I259" s="658"/>
      <c r="J259" s="578"/>
      <c r="K259" s="1507"/>
      <c r="L259" s="221"/>
      <c r="M259" s="348"/>
      <c r="N259" s="341"/>
      <c r="O259" s="1631"/>
      <c r="P259" s="1631"/>
      <c r="AH259" s="1638">
        <v>0</v>
      </c>
    </row>
    <row s="1642" customFormat="1" customHeight="1" ht="18.75" hidden="1">
      <c r="A260" s="1786" t="s">
        <v>264</v>
      </c>
      <c r="B260" s="1786" t="s">
        <v>265</v>
      </c>
      <c r="C260" s="376"/>
      <c r="D260" s="2482"/>
      <c r="E260" s="2224"/>
      <c r="F260" s="2403" t="str">
        <f>INDEX(PT_DIFFERENTIATION_VTAR,MATCH(A260,PT_DIFFERENTIATION_VTAR_ID,0))</f>
        <v>Тариф на водоотведение</v>
      </c>
      <c r="G260" s="2447" t="str">
        <f>INDEX(PT_DIFFERENTIATION_NTAR,MATCH(B260,PT_DIFFERENTIATION_NTAR_ID,0))</f>
        <v/>
      </c>
      <c r="H260" s="1866"/>
      <c r="I260" s="1745"/>
      <c r="J260" s="1779"/>
      <c r="K260" s="1784"/>
      <c r="L260" s="1866" t="s">
        <v>305</v>
      </c>
      <c r="M260" s="348"/>
      <c r="N260" s="341"/>
      <c r="O260" s="1631"/>
      <c r="P260" s="1631"/>
      <c r="AH260" s="1638">
        <v>0</v>
      </c>
    </row>
    <row s="1642" customFormat="1" customHeight="1" ht="18.75" hidden="1">
      <c r="A261" s="1786"/>
      <c r="B261" s="1786"/>
      <c r="C261" s="376" t="s">
        <v>1244</v>
      </c>
      <c r="D261" s="2482"/>
      <c r="E261" s="2224"/>
      <c r="F261" s="2403"/>
      <c r="G261" s="2447"/>
      <c r="H261" s="1507"/>
      <c r="I261" s="658" t="s">
        <v>1243</v>
      </c>
      <c r="J261" s="578"/>
      <c r="K261" s="1507"/>
      <c r="L261" s="221"/>
      <c r="M261" s="348"/>
      <c r="N261" s="341"/>
      <c r="O261" s="1631"/>
      <c r="P261" s="1631"/>
      <c r="AH261" s="1638">
        <v>0</v>
      </c>
    </row>
    <row s="1642" customFormat="1" customHeight="1" ht="0.75" hidden="1">
      <c r="A262" s="1786"/>
      <c r="B262" s="1786"/>
      <c r="C262" s="376" t="s">
        <v>1251</v>
      </c>
      <c r="D262" s="2482"/>
      <c r="E262" s="2224"/>
      <c r="F262" s="2403"/>
      <c r="G262" s="407"/>
      <c r="H262" s="1507"/>
      <c r="I262" s="658"/>
      <c r="J262" s="578"/>
      <c r="K262" s="1507"/>
      <c r="L262" s="221"/>
      <c r="M262" s="348"/>
      <c r="N262" s="341"/>
      <c r="O262" s="1631"/>
      <c r="P262" s="1631"/>
      <c r="AH262" s="1638">
        <v>0</v>
      </c>
    </row>
    <row s="1642" customFormat="1" customHeight="1" ht="18.75" hidden="1">
      <c r="A263" s="1786" t="s">
        <v>269</v>
      </c>
      <c r="B263" s="1786" t="s">
        <v>270</v>
      </c>
      <c r="C263" s="376"/>
      <c r="D263" s="2482"/>
      <c r="E263" s="2224"/>
      <c r="F263" s="2403" t="str">
        <f>INDEX(PT_DIFFERENTIATION_VTAR,MATCH(A263,PT_DIFFERENTIATION_VTAR_ID,0))</f>
        <v>Тариф на транспортировку сточных вод</v>
      </c>
      <c r="G263" s="2447" t="str">
        <f>INDEX(PT_DIFFERENTIATION_NTAR,MATCH(B263,PT_DIFFERENTIATION_NTAR_ID,0))</f>
        <v/>
      </c>
      <c r="H263" s="1866"/>
      <c r="I263" s="1745"/>
      <c r="J263" s="1779"/>
      <c r="K263" s="1784"/>
      <c r="L263" s="1866" t="s">
        <v>305</v>
      </c>
      <c r="M263" s="348"/>
      <c r="N263" s="341"/>
      <c r="O263" s="1631"/>
      <c r="P263" s="1631"/>
      <c r="AH263" s="1638">
        <v>0</v>
      </c>
    </row>
    <row s="1642" customFormat="1" customHeight="1" ht="18.75" hidden="1">
      <c r="A264" s="1786"/>
      <c r="B264" s="1786"/>
      <c r="C264" s="376" t="s">
        <v>1244</v>
      </c>
      <c r="D264" s="2482"/>
      <c r="E264" s="2224"/>
      <c r="F264" s="2403"/>
      <c r="G264" s="2447"/>
      <c r="H264" s="1507"/>
      <c r="I264" s="658" t="s">
        <v>1243</v>
      </c>
      <c r="J264" s="578"/>
      <c r="K264" s="1507"/>
      <c r="L264" s="221"/>
      <c r="M264" s="348"/>
      <c r="N264" s="341"/>
      <c r="O264" s="1631"/>
      <c r="P264" s="1631"/>
      <c r="AH264" s="1638">
        <v>0</v>
      </c>
    </row>
    <row s="1642" customFormat="1" customHeight="1" ht="0.75" hidden="1">
      <c r="A265" s="1786"/>
      <c r="B265" s="1786"/>
      <c r="C265" s="376" t="s">
        <v>1251</v>
      </c>
      <c r="D265" s="2482"/>
      <c r="E265" s="2224"/>
      <c r="F265" s="2403"/>
      <c r="G265" s="407"/>
      <c r="H265" s="1507"/>
      <c r="I265" s="658"/>
      <c r="J265" s="578"/>
      <c r="K265" s="1507"/>
      <c r="L265" s="221"/>
      <c r="M265" s="348"/>
      <c r="N265" s="341"/>
      <c r="O265" s="1631"/>
      <c r="P265" s="1631"/>
      <c r="AH265" s="1638">
        <v>0</v>
      </c>
    </row>
    <row s="1642" customFormat="1" customHeight="1" ht="18.75" hidden="1">
      <c r="A266" s="1786" t="s">
        <v>274</v>
      </c>
      <c r="B266" s="1786" t="s">
        <v>275</v>
      </c>
      <c r="C266" s="376"/>
      <c r="D266" s="2482"/>
      <c r="E266" s="2224"/>
      <c r="F266" s="2403" t="str">
        <f>INDEX(PT_DIFFERENTIATION_VTAR,MATCH(A266,PT_DIFFERENTIATION_VTAR_ID,0))</f>
        <v>Тариф на подключение (технологическое присоединение) к централизованной системе водоотведения</v>
      </c>
      <c r="G266" s="2447" t="str">
        <f>INDEX(PT_DIFFERENTIATION_NTAR,MATCH(B266,PT_DIFFERENTIATION_NTAR_ID,0))</f>
        <v/>
      </c>
      <c r="H266" s="1866"/>
      <c r="I266" s="1745"/>
      <c r="J266" s="1779"/>
      <c r="K266" s="1784"/>
      <c r="L266" s="1866" t="s">
        <v>305</v>
      </c>
      <c r="M266" s="348"/>
      <c r="N266" s="341"/>
      <c r="O266" s="1631"/>
      <c r="P266" s="1631"/>
      <c r="AH266" s="1638">
        <v>0</v>
      </c>
    </row>
    <row s="1642" customFormat="1" customHeight="1" ht="18.75" hidden="1">
      <c r="A267" s="1786"/>
      <c r="B267" s="1786"/>
      <c r="C267" s="376" t="s">
        <v>1244</v>
      </c>
      <c r="D267" s="2482"/>
      <c r="E267" s="2224"/>
      <c r="F267" s="2403"/>
      <c r="G267" s="2447"/>
      <c r="H267" s="1507"/>
      <c r="I267" s="658" t="s">
        <v>1243</v>
      </c>
      <c r="J267" s="578"/>
      <c r="K267" s="1507"/>
      <c r="L267" s="221"/>
      <c r="M267" s="348"/>
      <c r="N267" s="341"/>
      <c r="O267" s="1631"/>
      <c r="P267" s="1631"/>
      <c r="AH267" s="1638">
        <v>0</v>
      </c>
    </row>
    <row s="1642" customFormat="1" customHeight="1" ht="1.05">
      <c r="A268" s="1786"/>
      <c r="B268" s="1786"/>
      <c r="C268" s="376" t="s">
        <v>1251</v>
      </c>
      <c r="D268" s="2482"/>
      <c r="E268" s="2224"/>
      <c r="F268" s="2403"/>
      <c r="G268" s="407"/>
      <c r="H268" s="1507"/>
      <c r="I268" s="658"/>
      <c r="J268" s="578"/>
      <c r="K268" s="1507"/>
      <c r="L268" s="221"/>
      <c r="M268" s="348"/>
      <c r="N268" s="341"/>
      <c r="O268" s="1631"/>
      <c r="P268" s="1631"/>
      <c r="AH268" s="1638">
        <v>1</v>
      </c>
    </row>
    <row customHeight="1" ht="27.299999999999997">
      <c r="A269" s="1786"/>
      <c r="B269" s="1786"/>
      <c r="D269" s="383"/>
      <c r="E269" s="154" t="s">
        <v>91</v>
      </c>
      <c r="F269" s="24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0"/>
      <c r="H269" s="2480"/>
      <c r="I269" s="2480"/>
      <c r="J269" s="2480"/>
      <c r="K269" s="2480"/>
      <c r="L269" s="2480"/>
      <c r="M269" s="304"/>
      <c r="N269" s="341"/>
      <c r="AH269" s="381">
        <v>26</v>
      </c>
    </row>
    <row s="1642" customFormat="1" customHeight="1" ht="60.75" hidden="1">
      <c r="A270" s="1786" t="s">
        <v>156</v>
      </c>
      <c r="B270" s="1786" t="s">
        <v>157</v>
      </c>
      <c r="C270" s="376"/>
      <c r="D270" s="2482"/>
      <c r="E270" s="2224"/>
      <c r="F270" s="24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7" t="str">
        <f>INDEX(PT_DIFFERENTIATION_NTAR,MATCH(B270,PT_DIFFERENTIATION_NTAR_ID,0))</f>
        <v/>
      </c>
      <c r="H270" s="1866"/>
      <c r="I270" s="1745"/>
      <c r="J270" s="1779"/>
      <c r="K270" s="1784"/>
      <c r="L270" s="1866" t="s">
        <v>305</v>
      </c>
      <c r="M270"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6"/>
      <c r="B271" s="1786"/>
      <c r="C271" s="376" t="s">
        <v>1244</v>
      </c>
      <c r="D271" s="2482"/>
      <c r="E271" s="2224"/>
      <c r="F271" s="2403"/>
      <c r="G271" s="2447"/>
      <c r="H271" s="1507"/>
      <c r="I271" s="658" t="s">
        <v>1243</v>
      </c>
      <c r="J271" s="578"/>
      <c r="K271" s="1507"/>
      <c r="L271" s="221"/>
      <c r="M271" s="2190"/>
      <c r="N271" s="341"/>
      <c r="O271" s="1631"/>
      <c r="P271" s="1631"/>
      <c r="AH271" s="1638">
        <v>0</v>
      </c>
    </row>
    <row s="1642" customFormat="1" customHeight="1" ht="0.75" hidden="1">
      <c r="A272" s="1786"/>
      <c r="B272" s="1786"/>
      <c r="C272" s="376" t="s">
        <v>1251</v>
      </c>
      <c r="D272" s="2482"/>
      <c r="E272" s="2224"/>
      <c r="F272" s="2403"/>
      <c r="G272" s="407"/>
      <c r="H272" s="1507"/>
      <c r="I272" s="658"/>
      <c r="J272" s="578"/>
      <c r="K272" s="1507"/>
      <c r="L272" s="221"/>
      <c r="M272" s="2190"/>
      <c r="N272" s="341"/>
      <c r="O272" s="1631"/>
      <c r="P272" s="1631"/>
      <c r="AH272" s="1638">
        <v>0</v>
      </c>
    </row>
    <row s="1642" customFormat="1" customHeight="1" ht="45" hidden="1">
      <c r="A273" s="1786" t="s">
        <v>161</v>
      </c>
      <c r="B273" s="1786" t="s">
        <v>162</v>
      </c>
      <c r="C273" s="376"/>
      <c r="D273" s="2482"/>
      <c r="E273" s="2224"/>
      <c r="F273" s="2403" t="str">
        <f>INDEX(PT_DIFFERENTIATION_VTAR,MATCH(A273,PT_DIFFERENTIATION_VTAR_ID,0))</f>
        <v/>
      </c>
      <c r="G273" s="2447" t="str">
        <f>INDEX(PT_DIFFERENTIATION_NTAR,MATCH(B273,PT_DIFFERENTIATION_NTAR_ID,0))</f>
        <v/>
      </c>
      <c r="H273" s="1866"/>
      <c r="I273" s="1745"/>
      <c r="J273" s="1779"/>
      <c r="K273" s="1784"/>
      <c r="L273" s="1866" t="s">
        <v>305</v>
      </c>
      <c r="M273" s="2191"/>
      <c r="N273" s="341"/>
      <c r="O273" s="1631"/>
      <c r="P273" s="1631"/>
      <c r="AH273" s="1638">
        <v>0</v>
      </c>
    </row>
    <row s="1642" customFormat="1" customHeight="1" ht="18.75" hidden="1">
      <c r="A274" s="1786"/>
      <c r="B274" s="1786"/>
      <c r="C274" s="376" t="s">
        <v>1244</v>
      </c>
      <c r="D274" s="2482"/>
      <c r="E274" s="2224"/>
      <c r="F274" s="2403"/>
      <c r="G274" s="2447"/>
      <c r="H274" s="1507"/>
      <c r="I274" s="658" t="s">
        <v>1243</v>
      </c>
      <c r="J274" s="578"/>
      <c r="K274" s="1507"/>
      <c r="L274" s="221"/>
      <c r="M274" s="1865"/>
      <c r="N274" s="341"/>
      <c r="O274" s="1631"/>
      <c r="P274" s="1631"/>
      <c r="AH274" s="1638">
        <v>0</v>
      </c>
    </row>
    <row s="1642" customFormat="1" customHeight="1" ht="0.75" hidden="1">
      <c r="A275" s="1786"/>
      <c r="B275" s="1786"/>
      <c r="C275" s="376" t="s">
        <v>1251</v>
      </c>
      <c r="D275" s="2482"/>
      <c r="E275" s="2224"/>
      <c r="F275" s="2403"/>
      <c r="G275" s="407"/>
      <c r="H275" s="1507"/>
      <c r="I275" s="658"/>
      <c r="J275" s="578"/>
      <c r="K275" s="1507"/>
      <c r="L275" s="221"/>
      <c r="M275" s="348"/>
      <c r="N275" s="341"/>
      <c r="O275" s="1631"/>
      <c r="P275" s="1631"/>
      <c r="AH275" s="1638">
        <v>0</v>
      </c>
    </row>
    <row s="1642" customFormat="1" customHeight="1" ht="45" hidden="1">
      <c r="A276" s="1786" t="s">
        <v>168</v>
      </c>
      <c r="B276" s="1786" t="s">
        <v>169</v>
      </c>
      <c r="C276" s="376"/>
      <c r="D276" s="2482"/>
      <c r="E276" s="2224"/>
      <c r="F276" s="24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7" t="str">
        <f>INDEX(PT_DIFFERENTIATION_NTAR,MATCH(B276,PT_DIFFERENTIATION_NTAR_ID,0))</f>
        <v/>
      </c>
      <c r="H276" s="1866"/>
      <c r="I276" s="1745"/>
      <c r="J276" s="1779"/>
      <c r="K276" s="1784"/>
      <c r="L276" s="1866" t="s">
        <v>305</v>
      </c>
      <c r="M276" s="348"/>
      <c r="N276" s="341"/>
      <c r="O276" s="1631"/>
      <c r="P276" s="1631"/>
      <c r="AH276" s="1638">
        <v>0</v>
      </c>
    </row>
    <row s="1642" customFormat="1" customHeight="1" ht="18.75" hidden="1">
      <c r="A277" s="1786"/>
      <c r="B277" s="1786"/>
      <c r="C277" s="376" t="s">
        <v>1244</v>
      </c>
      <c r="D277" s="2482"/>
      <c r="E277" s="2224"/>
      <c r="F277" s="2403"/>
      <c r="G277" s="2447"/>
      <c r="H277" s="1507"/>
      <c r="I277" s="658" t="s">
        <v>1243</v>
      </c>
      <c r="J277" s="578"/>
      <c r="K277" s="1507"/>
      <c r="L277" s="221"/>
      <c r="M277" s="348"/>
      <c r="N277" s="341"/>
      <c r="O277" s="1631"/>
      <c r="P277" s="1631"/>
      <c r="AH277" s="1638">
        <v>0</v>
      </c>
    </row>
    <row s="1642" customFormat="1" customHeight="1" ht="0.75" hidden="1">
      <c r="A278" s="1786"/>
      <c r="B278" s="1786"/>
      <c r="C278" s="376" t="s">
        <v>1251</v>
      </c>
      <c r="D278" s="2482"/>
      <c r="E278" s="2224"/>
      <c r="F278" s="2403"/>
      <c r="G278" s="407"/>
      <c r="H278" s="1507"/>
      <c r="I278" s="658"/>
      <c r="J278" s="578"/>
      <c r="K278" s="1507"/>
      <c r="L278" s="221"/>
      <c r="M278" s="348"/>
      <c r="N278" s="341"/>
      <c r="O278" s="1631"/>
      <c r="P278" s="1631"/>
      <c r="AH278" s="1638">
        <v>0</v>
      </c>
    </row>
    <row s="1642" customFormat="1" customHeight="1" ht="45" hidden="1">
      <c r="A279" s="1786" t="s">
        <v>174</v>
      </c>
      <c r="B279" s="1786" t="s">
        <v>175</v>
      </c>
      <c r="C279" s="376"/>
      <c r="D279" s="2482"/>
      <c r="E279" s="2224"/>
      <c r="F279" s="24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7" t="str">
        <f>INDEX(PT_DIFFERENTIATION_NTAR,MATCH(B279,PT_DIFFERENTIATION_NTAR_ID,0))</f>
        <v/>
      </c>
      <c r="H279" s="1866"/>
      <c r="I279" s="1745"/>
      <c r="J279" s="1779"/>
      <c r="K279" s="1784"/>
      <c r="L279" s="1866" t="s">
        <v>305</v>
      </c>
      <c r="M279" s="348"/>
      <c r="N279" s="341"/>
      <c r="O279" s="1631"/>
      <c r="P279" s="1631"/>
      <c r="AH279" s="1638">
        <v>0</v>
      </c>
    </row>
    <row s="1642" customFormat="1" customHeight="1" ht="18.75" hidden="1">
      <c r="A280" s="1786"/>
      <c r="B280" s="1786"/>
      <c r="C280" s="376" t="s">
        <v>1244</v>
      </c>
      <c r="D280" s="2482"/>
      <c r="E280" s="2224"/>
      <c r="F280" s="2403"/>
      <c r="G280" s="2447"/>
      <c r="H280" s="1507"/>
      <c r="I280" s="658" t="s">
        <v>1243</v>
      </c>
      <c r="J280" s="578"/>
      <c r="K280" s="1507"/>
      <c r="L280" s="221"/>
      <c r="M280" s="348"/>
      <c r="N280" s="341"/>
      <c r="O280" s="1631"/>
      <c r="P280" s="1631"/>
      <c r="AH280" s="1638">
        <v>0</v>
      </c>
    </row>
    <row s="1642" customFormat="1" customHeight="1" ht="0.75" hidden="1">
      <c r="A281" s="1786"/>
      <c r="B281" s="1786"/>
      <c r="C281" s="376" t="s">
        <v>1251</v>
      </c>
      <c r="D281" s="2482"/>
      <c r="E281" s="2224"/>
      <c r="F281" s="2403"/>
      <c r="G281" s="407"/>
      <c r="H281" s="1507"/>
      <c r="I281" s="658"/>
      <c r="J281" s="578"/>
      <c r="K281" s="1507"/>
      <c r="L281" s="221"/>
      <c r="M281" s="348"/>
      <c r="N281" s="341"/>
      <c r="O281" s="1631"/>
      <c r="P281" s="1631"/>
      <c r="AH281" s="1638">
        <v>0</v>
      </c>
    </row>
    <row s="1642" customFormat="1" customHeight="1" ht="18.75" hidden="1">
      <c r="A282" s="1786" t="s">
        <v>180</v>
      </c>
      <c r="B282" s="1786" t="s">
        <v>181</v>
      </c>
      <c r="C282" s="376"/>
      <c r="D282" s="2482"/>
      <c r="E282" s="2224"/>
      <c r="F282" s="2403" t="str">
        <f>INDEX(PT_DIFFERENTIATION_VTAR,MATCH(A282,PT_DIFFERENTIATION_VTAR_ID,0))</f>
        <v>Тарифы на услуги по передаче тепловой энергии</v>
      </c>
      <c r="G282" s="2447" t="str">
        <f>INDEX(PT_DIFFERENTIATION_NTAR,MATCH(B282,PT_DIFFERENTIATION_NTAR_ID,0))</f>
        <v/>
      </c>
      <c r="H282" s="1866"/>
      <c r="I282" s="1745"/>
      <c r="J282" s="1779"/>
      <c r="K282" s="1784"/>
      <c r="L282" s="1866" t="s">
        <v>305</v>
      </c>
      <c r="M282" s="348"/>
      <c r="N282" s="341"/>
      <c r="O282" s="1631"/>
      <c r="P282" s="1631"/>
      <c r="AH282" s="1638">
        <v>0</v>
      </c>
    </row>
    <row s="1642" customFormat="1" customHeight="1" ht="18.75" hidden="1">
      <c r="A283" s="1786"/>
      <c r="B283" s="1786"/>
      <c r="C283" s="376" t="s">
        <v>1244</v>
      </c>
      <c r="D283" s="2482"/>
      <c r="E283" s="2224"/>
      <c r="F283" s="2403"/>
      <c r="G283" s="2447"/>
      <c r="H283" s="1507"/>
      <c r="I283" s="658" t="s">
        <v>1243</v>
      </c>
      <c r="J283" s="578"/>
      <c r="K283" s="1507"/>
      <c r="L283" s="221"/>
      <c r="M283" s="348"/>
      <c r="N283" s="341"/>
      <c r="O283" s="1631"/>
      <c r="P283" s="1631"/>
      <c r="AH283" s="1638">
        <v>0</v>
      </c>
    </row>
    <row s="1642" customFormat="1" customHeight="1" ht="0.75" hidden="1">
      <c r="A284" s="1786"/>
      <c r="B284" s="1786"/>
      <c r="C284" s="376" t="s">
        <v>1251</v>
      </c>
      <c r="D284" s="2482"/>
      <c r="E284" s="2224"/>
      <c r="F284" s="2403"/>
      <c r="G284" s="407"/>
      <c r="H284" s="1507"/>
      <c r="I284" s="658"/>
      <c r="J284" s="578"/>
      <c r="K284" s="1507"/>
      <c r="L284" s="221"/>
      <c r="M284" s="348"/>
      <c r="N284" s="341"/>
      <c r="O284" s="1631"/>
      <c r="P284" s="1631"/>
      <c r="AH284" s="1638">
        <v>0</v>
      </c>
    </row>
    <row s="1642" customFormat="1" customHeight="1" ht="18.75" hidden="1">
      <c r="A285" s="1786" t="s">
        <v>186</v>
      </c>
      <c r="B285" s="1786" t="s">
        <v>187</v>
      </c>
      <c r="C285" s="376"/>
      <c r="D285" s="2482"/>
      <c r="E285" s="2224"/>
      <c r="F285" s="2403" t="str">
        <f>INDEX(PT_DIFFERENTIATION_VTAR,MATCH(A285,PT_DIFFERENTIATION_VTAR_ID,0))</f>
        <v>Тарифы на услуги по передаче теплоносителя</v>
      </c>
      <c r="G285" s="2447" t="str">
        <f>INDEX(PT_DIFFERENTIATION_NTAR,MATCH(B285,PT_DIFFERENTIATION_NTAR_ID,0))</f>
        <v/>
      </c>
      <c r="H285" s="1866"/>
      <c r="I285" s="1745"/>
      <c r="J285" s="1779"/>
      <c r="K285" s="1784"/>
      <c r="L285" s="1866" t="s">
        <v>305</v>
      </c>
      <c r="M285" s="348"/>
      <c r="N285" s="341"/>
      <c r="O285" s="1631"/>
      <c r="P285" s="1631"/>
      <c r="AH285" s="1638">
        <v>0</v>
      </c>
    </row>
    <row s="1642" customFormat="1" customHeight="1" ht="18.75" hidden="1">
      <c r="A286" s="1786"/>
      <c r="B286" s="1786"/>
      <c r="C286" s="376" t="s">
        <v>1244</v>
      </c>
      <c r="D286" s="2482"/>
      <c r="E286" s="2224"/>
      <c r="F286" s="2403"/>
      <c r="G286" s="2447"/>
      <c r="H286" s="1507"/>
      <c r="I286" s="658" t="s">
        <v>1243</v>
      </c>
      <c r="J286" s="578"/>
      <c r="K286" s="1507"/>
      <c r="L286" s="221"/>
      <c r="M286" s="348"/>
      <c r="N286" s="341"/>
      <c r="O286" s="1631"/>
      <c r="P286" s="1631"/>
      <c r="AH286" s="1638">
        <v>0</v>
      </c>
    </row>
    <row s="1642" customFormat="1" customHeight="1" ht="0.75" hidden="1">
      <c r="A287" s="1786"/>
      <c r="B287" s="1786"/>
      <c r="C287" s="376" t="s">
        <v>1251</v>
      </c>
      <c r="D287" s="2482"/>
      <c r="E287" s="2224"/>
      <c r="F287" s="2403"/>
      <c r="G287" s="407"/>
      <c r="H287" s="1507"/>
      <c r="I287" s="658"/>
      <c r="J287" s="578"/>
      <c r="K287" s="1507"/>
      <c r="L287" s="221"/>
      <c r="M287" s="348"/>
      <c r="N287" s="341"/>
      <c r="O287" s="1631"/>
      <c r="P287" s="1631"/>
      <c r="AH287" s="1638">
        <v>0</v>
      </c>
    </row>
    <row s="1642" customFormat="1" customHeight="1" ht="18.75" hidden="1">
      <c r="A288" s="1786" t="s">
        <v>192</v>
      </c>
      <c r="B288" s="1786" t="s">
        <v>193</v>
      </c>
      <c r="C288" s="376"/>
      <c r="D288" s="2482"/>
      <c r="E288" s="2224"/>
      <c r="F288" s="24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7" t="str">
        <f>INDEX(PT_DIFFERENTIATION_NTAR,MATCH(B288,PT_DIFFERENTIATION_NTAR_ID,0))</f>
        <v/>
      </c>
      <c r="H288" s="1866"/>
      <c r="I288" s="1745"/>
      <c r="J288" s="1779"/>
      <c r="K288" s="1784"/>
      <c r="L288" s="1866" t="s">
        <v>305</v>
      </c>
      <c r="M288" s="348"/>
      <c r="N288" s="341"/>
      <c r="O288" s="1631"/>
      <c r="P288" s="1631"/>
      <c r="AH288" s="1638">
        <v>0</v>
      </c>
    </row>
    <row s="1642" customFormat="1" customHeight="1" ht="18.75" hidden="1">
      <c r="A289" s="1786"/>
      <c r="B289" s="1786"/>
      <c r="C289" s="376" t="s">
        <v>1244</v>
      </c>
      <c r="D289" s="2482"/>
      <c r="E289" s="2224"/>
      <c r="F289" s="2403"/>
      <c r="G289" s="2447"/>
      <c r="H289" s="1507"/>
      <c r="I289" s="658" t="s">
        <v>1243</v>
      </c>
      <c r="J289" s="578"/>
      <c r="K289" s="1507"/>
      <c r="L289" s="221"/>
      <c r="M289" s="348"/>
      <c r="N289" s="341"/>
      <c r="O289" s="1631"/>
      <c r="P289" s="1631"/>
      <c r="AH289" s="1638">
        <v>0</v>
      </c>
    </row>
    <row s="1642" customFormat="1" customHeight="1" ht="0.75" hidden="1">
      <c r="A290" s="1786"/>
      <c r="B290" s="1786"/>
      <c r="C290" s="376" t="s">
        <v>1251</v>
      </c>
      <c r="D290" s="2482"/>
      <c r="E290" s="2224"/>
      <c r="F290" s="2403"/>
      <c r="G290" s="407"/>
      <c r="H290" s="1507"/>
      <c r="I290" s="658"/>
      <c r="J290" s="578"/>
      <c r="K290" s="1507"/>
      <c r="L290" s="221"/>
      <c r="M290" s="348"/>
      <c r="N290" s="341"/>
      <c r="O290" s="1631"/>
      <c r="P290" s="1631"/>
      <c r="AH290" s="1638">
        <v>0</v>
      </c>
    </row>
    <row s="1642" customFormat="1" customHeight="1" ht="18.75" hidden="1">
      <c r="A291" s="1786" t="s">
        <v>198</v>
      </c>
      <c r="B291" s="1786" t="s">
        <v>199</v>
      </c>
      <c r="C291" s="376"/>
      <c r="D291" s="2482"/>
      <c r="E291" s="2224"/>
      <c r="F291" s="2403" t="str">
        <f>INDEX(PT_DIFFERENTIATION_VTAR,MATCH(A291,PT_DIFFERENTIATION_VTAR_ID,0))</f>
        <v>Плата за подключение (технологическое присоединение) к системе теплоснабжения</v>
      </c>
      <c r="G291" s="2447" t="str">
        <f>INDEX(PT_DIFFERENTIATION_NTAR,MATCH(B291,PT_DIFFERENTIATION_NTAR_ID,0))</f>
        <v/>
      </c>
      <c r="H291" s="1866"/>
      <c r="I291" s="1745"/>
      <c r="J291" s="1779"/>
      <c r="K291" s="1784"/>
      <c r="L291" s="1866" t="s">
        <v>305</v>
      </c>
      <c r="M291" s="348"/>
      <c r="N291" s="341"/>
      <c r="O291" s="1631"/>
      <c r="P291" s="1631"/>
      <c r="AH291" s="1638">
        <v>0</v>
      </c>
    </row>
    <row s="1642" customFormat="1" customHeight="1" ht="18.75" hidden="1">
      <c r="A292" s="1786"/>
      <c r="B292" s="1786"/>
      <c r="C292" s="376" t="s">
        <v>1244</v>
      </c>
      <c r="D292" s="2482"/>
      <c r="E292" s="2224"/>
      <c r="F292" s="2403"/>
      <c r="G292" s="2447"/>
      <c r="H292" s="1507"/>
      <c r="I292" s="658" t="s">
        <v>1243</v>
      </c>
      <c r="J292" s="578"/>
      <c r="K292" s="1507"/>
      <c r="L292" s="221"/>
      <c r="M292" s="348"/>
      <c r="N292" s="341"/>
      <c r="O292" s="1631"/>
      <c r="P292" s="1631"/>
      <c r="AH292" s="1638">
        <v>0</v>
      </c>
    </row>
    <row s="1642" customFormat="1" customHeight="1" ht="0.75" hidden="1">
      <c r="A293" s="1786"/>
      <c r="B293" s="1786"/>
      <c r="C293" s="376" t="s">
        <v>1251</v>
      </c>
      <c r="D293" s="2482"/>
      <c r="E293" s="2224"/>
      <c r="F293" s="2403"/>
      <c r="G293" s="407"/>
      <c r="H293" s="1507"/>
      <c r="I293" s="658"/>
      <c r="J293" s="578"/>
      <c r="K293" s="1507"/>
      <c r="L293" s="221"/>
      <c r="M293" s="348"/>
      <c r="N293" s="341"/>
      <c r="O293" s="1631"/>
      <c r="P293" s="1631"/>
      <c r="AH293" s="1638">
        <v>0</v>
      </c>
    </row>
    <row s="1642" customFormat="1" customHeight="1" ht="18.75" hidden="1">
      <c r="A294" s="1786" t="s">
        <v>204</v>
      </c>
      <c r="B294" s="1786" t="s">
        <v>205</v>
      </c>
      <c r="C294" s="376"/>
      <c r="D294" s="2482"/>
      <c r="E294" s="2224"/>
      <c r="F294" s="2403" t="str">
        <f>INDEX(PT_DIFFERENTIATION_VTAR,MATCH(A294,PT_DIFFERENTIATION_VTAR_ID,0))</f>
        <v>Плата за подключение (технологическое присоединение) к системе теплоснабжения (индивидуальная)</v>
      </c>
      <c r="G294" s="2447" t="str">
        <f>INDEX(PT_DIFFERENTIATION_NTAR,MATCH(B294,PT_DIFFERENTIATION_NTAR_ID,0))</f>
        <v/>
      </c>
      <c r="H294" s="1993"/>
      <c r="I294" s="1745"/>
      <c r="J294" s="1779"/>
      <c r="K294" s="1784"/>
      <c r="L294" s="1993" t="s">
        <v>305</v>
      </c>
      <c r="M294" s="348"/>
      <c r="N294" s="341"/>
      <c r="O294" s="1631"/>
      <c r="P294" s="1631"/>
      <c r="AH294" s="1638">
        <v>0</v>
      </c>
    </row>
    <row s="1642" customFormat="1" customHeight="1" ht="18.75" hidden="1">
      <c r="A295" s="1786"/>
      <c r="B295" s="1786"/>
      <c r="C295" s="376" t="s">
        <v>1244</v>
      </c>
      <c r="D295" s="2482"/>
      <c r="E295" s="2224"/>
      <c r="F295" s="2403"/>
      <c r="G295" s="2447"/>
      <c r="H295" s="1507"/>
      <c r="I295" s="658" t="s">
        <v>1243</v>
      </c>
      <c r="J295" s="578"/>
      <c r="K295" s="1507"/>
      <c r="L295" s="221"/>
      <c r="M295" s="348"/>
      <c r="N295" s="341"/>
      <c r="O295" s="1631"/>
      <c r="P295" s="1631"/>
      <c r="AH295" s="1638">
        <v>0</v>
      </c>
    </row>
    <row s="1642" customFormat="1" customHeight="1" ht="0.75" hidden="1">
      <c r="A296" s="1786"/>
      <c r="B296" s="1786"/>
      <c r="C296" s="376" t="s">
        <v>1251</v>
      </c>
      <c r="D296" s="2482"/>
      <c r="E296" s="2224"/>
      <c r="F296" s="2403"/>
      <c r="G296" s="407"/>
      <c r="H296" s="1507"/>
      <c r="I296" s="658"/>
      <c r="J296" s="578"/>
      <c r="K296" s="1507"/>
      <c r="L296" s="221"/>
      <c r="M296" s="348"/>
      <c r="N296" s="341"/>
      <c r="O296" s="1631"/>
      <c r="P296" s="1631"/>
      <c r="AH296" s="1638">
        <v>0</v>
      </c>
    </row>
    <row s="1642" customFormat="1" customHeight="1" ht="18.75" hidden="1">
      <c r="A297" s="1786" t="s">
        <v>224</v>
      </c>
      <c r="B297" s="1786" t="s">
        <v>225</v>
      </c>
      <c r="C297" s="376"/>
      <c r="D297" s="2482"/>
      <c r="E297" s="2224"/>
      <c r="F297" s="2403" t="str">
        <f>INDEX(PT_DIFFERENTIATION_VTAR,MATCH(A297,PT_DIFFERENTIATION_VTAR_ID,0))</f>
        <v>Тариф на питьевую воду (питьевое водоснабжение)</v>
      </c>
      <c r="G297" s="2447" t="str">
        <f>INDEX(PT_DIFFERENTIATION_NTAR,MATCH(B297,PT_DIFFERENTIATION_NTAR_ID,0))</f>
        <v/>
      </c>
      <c r="H297" s="1866"/>
      <c r="I297" s="1745"/>
      <c r="J297" s="1779"/>
      <c r="K297" s="1784"/>
      <c r="L297" s="1866" t="s">
        <v>305</v>
      </c>
      <c r="M297" s="348"/>
      <c r="N297" s="341"/>
      <c r="O297" s="1631"/>
      <c r="P297" s="1631"/>
      <c r="AH297" s="1638">
        <v>0</v>
      </c>
    </row>
    <row s="1642" customFormat="1" customHeight="1" ht="18.75" hidden="1">
      <c r="A298" s="1786"/>
      <c r="B298" s="1786"/>
      <c r="C298" s="376" t="s">
        <v>1244</v>
      </c>
      <c r="D298" s="2482"/>
      <c r="E298" s="2224"/>
      <c r="F298" s="2403"/>
      <c r="G298" s="2447"/>
      <c r="H298" s="1507"/>
      <c r="I298" s="658" t="s">
        <v>1243</v>
      </c>
      <c r="J298" s="578"/>
      <c r="K298" s="1507"/>
      <c r="L298" s="221"/>
      <c r="M298" s="348"/>
      <c r="N298" s="341"/>
      <c r="O298" s="1631"/>
      <c r="P298" s="1631"/>
      <c r="AH298" s="1638">
        <v>0</v>
      </c>
    </row>
    <row s="1642" customFormat="1" customHeight="1" ht="0.75" hidden="1">
      <c r="A299" s="1786"/>
      <c r="B299" s="1786"/>
      <c r="C299" s="376" t="s">
        <v>1251</v>
      </c>
      <c r="D299" s="2482"/>
      <c r="E299" s="2224"/>
      <c r="F299" s="2403"/>
      <c r="G299" s="407"/>
      <c r="H299" s="1507"/>
      <c r="I299" s="658"/>
      <c r="J299" s="578"/>
      <c r="K299" s="1507"/>
      <c r="L299" s="221"/>
      <c r="M299" s="348"/>
      <c r="N299" s="341"/>
      <c r="O299" s="1631"/>
      <c r="P299" s="1631"/>
      <c r="AH299" s="1638">
        <v>0</v>
      </c>
    </row>
    <row s="1642" customFormat="1" customHeight="1" ht="18.75" hidden="1">
      <c r="A300" s="1786" t="s">
        <v>229</v>
      </c>
      <c r="B300" s="1786" t="s">
        <v>230</v>
      </c>
      <c r="C300" s="376"/>
      <c r="D300" s="2482"/>
      <c r="E300" s="2224"/>
      <c r="F300" s="2403" t="str">
        <f>INDEX(PT_DIFFERENTIATION_VTAR,MATCH(A300,PT_DIFFERENTIATION_VTAR_ID,0))</f>
        <v>Тариф на техническую воду</v>
      </c>
      <c r="G300" s="2447" t="str">
        <f>INDEX(PT_DIFFERENTIATION_NTAR,MATCH(B300,PT_DIFFERENTIATION_NTAR_ID,0))</f>
        <v/>
      </c>
      <c r="H300" s="1866"/>
      <c r="I300" s="1745"/>
      <c r="J300" s="1779"/>
      <c r="K300" s="1784"/>
      <c r="L300" s="1866" t="s">
        <v>305</v>
      </c>
      <c r="M300" s="348"/>
      <c r="N300" s="341"/>
      <c r="O300" s="1631"/>
      <c r="P300" s="1631"/>
      <c r="AH300" s="1638">
        <v>0</v>
      </c>
    </row>
    <row s="1642" customFormat="1" customHeight="1" ht="18.75" hidden="1">
      <c r="A301" s="1786"/>
      <c r="B301" s="1786"/>
      <c r="C301" s="376" t="s">
        <v>1244</v>
      </c>
      <c r="D301" s="2482"/>
      <c r="E301" s="2224"/>
      <c r="F301" s="2403"/>
      <c r="G301" s="2447"/>
      <c r="H301" s="1507"/>
      <c r="I301" s="658" t="s">
        <v>1243</v>
      </c>
      <c r="J301" s="578"/>
      <c r="K301" s="1507"/>
      <c r="L301" s="221"/>
      <c r="M301" s="348"/>
      <c r="N301" s="341"/>
      <c r="O301" s="1631"/>
      <c r="P301" s="1631"/>
      <c r="AH301" s="1638">
        <v>0</v>
      </c>
    </row>
    <row s="1642" customFormat="1" customHeight="1" ht="0.75" hidden="1">
      <c r="A302" s="1786"/>
      <c r="B302" s="1786"/>
      <c r="C302" s="376" t="s">
        <v>1251</v>
      </c>
      <c r="D302" s="2482"/>
      <c r="E302" s="2224"/>
      <c r="F302" s="2403"/>
      <c r="G302" s="407"/>
      <c r="H302" s="1507"/>
      <c r="I302" s="658"/>
      <c r="J302" s="578"/>
      <c r="K302" s="1507"/>
      <c r="L302" s="221"/>
      <c r="M302" s="348"/>
      <c r="N302" s="341"/>
      <c r="O302" s="1631"/>
      <c r="P302" s="1631"/>
      <c r="AH302" s="1638">
        <v>0</v>
      </c>
    </row>
    <row s="1642" customFormat="1" customHeight="1" ht="18.75" hidden="1">
      <c r="A303" s="1786" t="s">
        <v>234</v>
      </c>
      <c r="B303" s="1786" t="s">
        <v>235</v>
      </c>
      <c r="C303" s="376"/>
      <c r="D303" s="2482"/>
      <c r="E303" s="2224"/>
      <c r="F303" s="2403" t="str">
        <f>INDEX(PT_DIFFERENTIATION_VTAR,MATCH(A303,PT_DIFFERENTIATION_VTAR_ID,0))</f>
        <v>Тариф на транспортировку воды</v>
      </c>
      <c r="G303" s="2447" t="str">
        <f>INDEX(PT_DIFFERENTIATION_NTAR,MATCH(B303,PT_DIFFERENTIATION_NTAR_ID,0))</f>
        <v/>
      </c>
      <c r="H303" s="1866"/>
      <c r="I303" s="1745"/>
      <c r="J303" s="1779"/>
      <c r="K303" s="1784"/>
      <c r="L303" s="1866" t="s">
        <v>305</v>
      </c>
      <c r="M303" s="348"/>
      <c r="N303" s="341"/>
      <c r="O303" s="1631"/>
      <c r="P303" s="1631"/>
      <c r="AH303" s="1638">
        <v>0</v>
      </c>
    </row>
    <row s="1642" customFormat="1" customHeight="1" ht="18.75" hidden="1">
      <c r="A304" s="1786"/>
      <c r="B304" s="1786"/>
      <c r="C304" s="376" t="s">
        <v>1244</v>
      </c>
      <c r="D304" s="2482"/>
      <c r="E304" s="2224"/>
      <c r="F304" s="2403"/>
      <c r="G304" s="2447"/>
      <c r="H304" s="1507"/>
      <c r="I304" s="658" t="s">
        <v>1243</v>
      </c>
      <c r="J304" s="578"/>
      <c r="K304" s="1507"/>
      <c r="L304" s="221"/>
      <c r="M304" s="348"/>
      <c r="N304" s="341"/>
      <c r="O304" s="1631"/>
      <c r="P304" s="1631"/>
      <c r="AH304" s="1638">
        <v>0</v>
      </c>
    </row>
    <row s="1642" customFormat="1" customHeight="1" ht="0.75" hidden="1">
      <c r="A305" s="1786"/>
      <c r="B305" s="1786"/>
      <c r="C305" s="376" t="s">
        <v>1251</v>
      </c>
      <c r="D305" s="2482"/>
      <c r="E305" s="2224"/>
      <c r="F305" s="2403"/>
      <c r="G305" s="407"/>
      <c r="H305" s="1507"/>
      <c r="I305" s="658"/>
      <c r="J305" s="578"/>
      <c r="K305" s="1507"/>
      <c r="L305" s="221"/>
      <c r="M305" s="348"/>
      <c r="N305" s="341"/>
      <c r="O305" s="1631"/>
      <c r="P305" s="1631"/>
      <c r="AH305" s="1638">
        <v>0</v>
      </c>
    </row>
    <row s="1642" customFormat="1" customHeight="1" ht="18.75" hidden="1">
      <c r="A306" s="1786" t="s">
        <v>239</v>
      </c>
      <c r="B306" s="1786" t="s">
        <v>240</v>
      </c>
      <c r="C306" s="376"/>
      <c r="D306" s="2482"/>
      <c r="E306" s="2224"/>
      <c r="F306" s="2403" t="str">
        <f>INDEX(PT_DIFFERENTIATION_VTAR,MATCH(A306,PT_DIFFERENTIATION_VTAR_ID,0))</f>
        <v>Тариф на подвоз воды</v>
      </c>
      <c r="G306" s="2447" t="str">
        <f>INDEX(PT_DIFFERENTIATION_NTAR,MATCH(B306,PT_DIFFERENTIATION_NTAR_ID,0))</f>
        <v/>
      </c>
      <c r="H306" s="1866"/>
      <c r="I306" s="1745"/>
      <c r="J306" s="1779"/>
      <c r="K306" s="1784"/>
      <c r="L306" s="1866" t="s">
        <v>305</v>
      </c>
      <c r="M306" s="348"/>
      <c r="N306" s="341"/>
      <c r="O306" s="1631"/>
      <c r="P306" s="1631"/>
      <c r="AH306" s="1638">
        <v>0</v>
      </c>
    </row>
    <row s="1642" customFormat="1" customHeight="1" ht="18.75" hidden="1">
      <c r="A307" s="1786"/>
      <c r="B307" s="1786"/>
      <c r="C307" s="376" t="s">
        <v>1244</v>
      </c>
      <c r="D307" s="2482"/>
      <c r="E307" s="2224"/>
      <c r="F307" s="2403"/>
      <c r="G307" s="2447"/>
      <c r="H307" s="1507"/>
      <c r="I307" s="658" t="s">
        <v>1243</v>
      </c>
      <c r="J307" s="578"/>
      <c r="K307" s="1507"/>
      <c r="L307" s="221"/>
      <c r="M307" s="348"/>
      <c r="N307" s="341"/>
      <c r="O307" s="1631"/>
      <c r="P307" s="1631"/>
      <c r="AH307" s="1638">
        <v>0</v>
      </c>
    </row>
    <row s="1642" customFormat="1" customHeight="1" ht="0.75" hidden="1">
      <c r="A308" s="1786"/>
      <c r="B308" s="1786"/>
      <c r="C308" s="376" t="s">
        <v>1251</v>
      </c>
      <c r="D308" s="2482"/>
      <c r="E308" s="2224"/>
      <c r="F308" s="2403"/>
      <c r="G308" s="407"/>
      <c r="H308" s="1507"/>
      <c r="I308" s="658"/>
      <c r="J308" s="578"/>
      <c r="K308" s="1507"/>
      <c r="L308" s="221"/>
      <c r="M308" s="348"/>
      <c r="N308" s="341"/>
      <c r="O308" s="1631"/>
      <c r="P308" s="1631"/>
      <c r="AH308" s="1638">
        <v>0</v>
      </c>
    </row>
    <row s="1642" customFormat="1" customHeight="1" ht="18.75" hidden="1">
      <c r="A309" s="1786" t="s">
        <v>244</v>
      </c>
      <c r="B309" s="1786" t="s">
        <v>245</v>
      </c>
      <c r="C309" s="376"/>
      <c r="D309" s="2482"/>
      <c r="E309" s="2224"/>
      <c r="F309" s="24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7" t="str">
        <f>INDEX(PT_DIFFERENTIATION_NTAR,MATCH(B309,PT_DIFFERENTIATION_NTAR_ID,0))</f>
        <v/>
      </c>
      <c r="H309" s="1866"/>
      <c r="I309" s="1745"/>
      <c r="J309" s="1779"/>
      <c r="K309" s="1784"/>
      <c r="L309" s="1866" t="s">
        <v>305</v>
      </c>
      <c r="M309" s="348"/>
      <c r="N309" s="341"/>
      <c r="O309" s="1631"/>
      <c r="P309" s="1631"/>
      <c r="AH309" s="1638">
        <v>0</v>
      </c>
    </row>
    <row s="1642" customFormat="1" customHeight="1" ht="18.75" hidden="1">
      <c r="A310" s="1786"/>
      <c r="B310" s="1786"/>
      <c r="C310" s="376" t="s">
        <v>1244</v>
      </c>
      <c r="D310" s="2482"/>
      <c r="E310" s="2224"/>
      <c r="F310" s="2403"/>
      <c r="G310" s="2447"/>
      <c r="H310" s="1507"/>
      <c r="I310" s="658" t="s">
        <v>1243</v>
      </c>
      <c r="J310" s="578"/>
      <c r="K310" s="1507"/>
      <c r="L310" s="221"/>
      <c r="M310" s="348"/>
      <c r="N310" s="341"/>
      <c r="O310" s="1631"/>
      <c r="P310" s="1631"/>
      <c r="AH310" s="1638">
        <v>0</v>
      </c>
    </row>
    <row s="1642" customFormat="1" customHeight="1" ht="0.75" hidden="1">
      <c r="A311" s="1786"/>
      <c r="B311" s="1786"/>
      <c r="C311" s="376" t="s">
        <v>1251</v>
      </c>
      <c r="D311" s="2482"/>
      <c r="E311" s="2224"/>
      <c r="F311" s="2403"/>
      <c r="G311" s="407"/>
      <c r="H311" s="1507"/>
      <c r="I311" s="658"/>
      <c r="J311" s="578"/>
      <c r="K311" s="1507"/>
      <c r="L311" s="221"/>
      <c r="M311" s="348"/>
      <c r="N311" s="341"/>
      <c r="O311" s="1631"/>
      <c r="P311" s="1631"/>
      <c r="AH311" s="1638">
        <v>0</v>
      </c>
    </row>
    <row s="1642" customFormat="1" customHeight="1" ht="18.75" hidden="1">
      <c r="A312" s="1786" t="s">
        <v>249</v>
      </c>
      <c r="B312" s="1786" t="s">
        <v>250</v>
      </c>
      <c r="C312" s="376"/>
      <c r="D312" s="2482"/>
      <c r="E312" s="2224"/>
      <c r="F312" s="2403" t="str">
        <f>INDEX(PT_DIFFERENTIATION_VTAR,MATCH(A312,PT_DIFFERENTIATION_VTAR_ID,0))</f>
        <v>Тариф на горячую воду (горячее водоснабжение)</v>
      </c>
      <c r="G312" s="2447" t="str">
        <f>INDEX(PT_DIFFERENTIATION_NTAR,MATCH(B312,PT_DIFFERENTIATION_NTAR_ID,0))</f>
        <v/>
      </c>
      <c r="H312" s="1866"/>
      <c r="I312" s="1745"/>
      <c r="J312" s="1779"/>
      <c r="K312" s="1784"/>
      <c r="L312" s="1866" t="s">
        <v>305</v>
      </c>
      <c r="M312" s="348"/>
      <c r="N312" s="341"/>
      <c r="O312" s="1631"/>
      <c r="P312" s="1631"/>
      <c r="AH312" s="1638">
        <v>0</v>
      </c>
    </row>
    <row s="1642" customFormat="1" customHeight="1" ht="18.75" hidden="1">
      <c r="A313" s="1786"/>
      <c r="B313" s="1786"/>
      <c r="C313" s="376" t="s">
        <v>1244</v>
      </c>
      <c r="D313" s="2482"/>
      <c r="E313" s="2224"/>
      <c r="F313" s="2403"/>
      <c r="G313" s="2447"/>
      <c r="H313" s="1507"/>
      <c r="I313" s="658" t="s">
        <v>1243</v>
      </c>
      <c r="J313" s="578"/>
      <c r="K313" s="1507"/>
      <c r="L313" s="221"/>
      <c r="M313" s="348"/>
      <c r="N313" s="341"/>
      <c r="O313" s="1631"/>
      <c r="P313" s="1631"/>
      <c r="AH313" s="1638">
        <v>0</v>
      </c>
    </row>
    <row s="1642" customFormat="1" customHeight="1" ht="0.75" hidden="1">
      <c r="A314" s="1786"/>
      <c r="B314" s="1786"/>
      <c r="C314" s="376" t="s">
        <v>1251</v>
      </c>
      <c r="D314" s="2482"/>
      <c r="E314" s="2224"/>
      <c r="F314" s="2403"/>
      <c r="G314" s="407"/>
      <c r="H314" s="1507"/>
      <c r="I314" s="658"/>
      <c r="J314" s="578"/>
      <c r="K314" s="1507"/>
      <c r="L314" s="221"/>
      <c r="M314" s="348"/>
      <c r="N314" s="341"/>
      <c r="O314" s="1631"/>
      <c r="P314" s="1631"/>
      <c r="AH314" s="1638">
        <v>0</v>
      </c>
    </row>
    <row s="1642" customFormat="1" customHeight="1" ht="18.75" hidden="1">
      <c r="A315" s="1786" t="s">
        <v>254</v>
      </c>
      <c r="B315" s="1786" t="s">
        <v>255</v>
      </c>
      <c r="C315" s="376"/>
      <c r="D315" s="2482"/>
      <c r="E315" s="2224"/>
      <c r="F315" s="2403" t="str">
        <f>INDEX(PT_DIFFERENTIATION_VTAR,MATCH(A315,PT_DIFFERENTIATION_VTAR_ID,0))</f>
        <v>Тариф на транспортировку горячей воды</v>
      </c>
      <c r="G315" s="2447" t="str">
        <f>INDEX(PT_DIFFERENTIATION_NTAR,MATCH(B315,PT_DIFFERENTIATION_NTAR_ID,0))</f>
        <v/>
      </c>
      <c r="H315" s="1866"/>
      <c r="I315" s="1745"/>
      <c r="J315" s="1779"/>
      <c r="K315" s="1784"/>
      <c r="L315" s="1866" t="s">
        <v>305</v>
      </c>
      <c r="M315" s="348"/>
      <c r="N315" s="341"/>
      <c r="O315" s="1631"/>
      <c r="P315" s="1631"/>
      <c r="AH315" s="1638">
        <v>0</v>
      </c>
    </row>
    <row s="1642" customFormat="1" customHeight="1" ht="18.75" hidden="1">
      <c r="A316" s="1786"/>
      <c r="B316" s="1786"/>
      <c r="C316" s="376" t="s">
        <v>1244</v>
      </c>
      <c r="D316" s="2482"/>
      <c r="E316" s="2224"/>
      <c r="F316" s="2403"/>
      <c r="G316" s="2447"/>
      <c r="H316" s="1507"/>
      <c r="I316" s="658" t="s">
        <v>1243</v>
      </c>
      <c r="J316" s="578"/>
      <c r="K316" s="1507"/>
      <c r="L316" s="221"/>
      <c r="M316" s="348"/>
      <c r="N316" s="341"/>
      <c r="O316" s="1631"/>
      <c r="P316" s="1631"/>
      <c r="AH316" s="1638">
        <v>0</v>
      </c>
    </row>
    <row s="1642" customFormat="1" customHeight="1" ht="0.75" hidden="1">
      <c r="A317" s="1786"/>
      <c r="B317" s="1786"/>
      <c r="C317" s="376" t="s">
        <v>1251</v>
      </c>
      <c r="D317" s="2482"/>
      <c r="E317" s="2224"/>
      <c r="F317" s="2403"/>
      <c r="G317" s="407"/>
      <c r="H317" s="1507"/>
      <c r="I317" s="658"/>
      <c r="J317" s="578"/>
      <c r="K317" s="1507"/>
      <c r="L317" s="221"/>
      <c r="M317" s="348"/>
      <c r="N317" s="341"/>
      <c r="O317" s="1631"/>
      <c r="P317" s="1631"/>
      <c r="AH317" s="1638">
        <v>0</v>
      </c>
    </row>
    <row s="1642" customFormat="1" customHeight="1" ht="18.75" hidden="1">
      <c r="A318" s="1786" t="s">
        <v>259</v>
      </c>
      <c r="B318" s="1786" t="s">
        <v>260</v>
      </c>
      <c r="C318" s="376"/>
      <c r="D318" s="2482"/>
      <c r="E318" s="2224"/>
      <c r="F318" s="24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7" t="str">
        <f>INDEX(PT_DIFFERENTIATION_NTAR,MATCH(B318,PT_DIFFERENTIATION_NTAR_ID,0))</f>
        <v/>
      </c>
      <c r="H318" s="1866"/>
      <c r="I318" s="1745"/>
      <c r="J318" s="1779"/>
      <c r="K318" s="1784"/>
      <c r="L318" s="1866" t="s">
        <v>305</v>
      </c>
      <c r="M318" s="348"/>
      <c r="N318" s="341"/>
      <c r="O318" s="1631"/>
      <c r="P318" s="1631"/>
      <c r="AH318" s="1638">
        <v>0</v>
      </c>
    </row>
    <row s="1642" customFormat="1" customHeight="1" ht="18.75" hidden="1">
      <c r="A319" s="1786"/>
      <c r="B319" s="1786"/>
      <c r="C319" s="376" t="s">
        <v>1244</v>
      </c>
      <c r="D319" s="2482"/>
      <c r="E319" s="2224"/>
      <c r="F319" s="2403"/>
      <c r="G319" s="2447"/>
      <c r="H319" s="1507"/>
      <c r="I319" s="658" t="s">
        <v>1243</v>
      </c>
      <c r="J319" s="578"/>
      <c r="K319" s="1507"/>
      <c r="L319" s="221"/>
      <c r="M319" s="348"/>
      <c r="N319" s="341"/>
      <c r="O319" s="1631"/>
      <c r="P319" s="1631"/>
      <c r="AH319" s="1638">
        <v>0</v>
      </c>
    </row>
    <row s="1642" customFormat="1" customHeight="1" ht="0.75" hidden="1">
      <c r="A320" s="1786"/>
      <c r="B320" s="1786"/>
      <c r="C320" s="376" t="s">
        <v>1251</v>
      </c>
      <c r="D320" s="2482"/>
      <c r="E320" s="2224"/>
      <c r="F320" s="2403"/>
      <c r="G320" s="407"/>
      <c r="H320" s="1507"/>
      <c r="I320" s="658"/>
      <c r="J320" s="578"/>
      <c r="K320" s="1507"/>
      <c r="L320" s="221"/>
      <c r="M320" s="348"/>
      <c r="N320" s="341"/>
      <c r="O320" s="1631"/>
      <c r="P320" s="1631"/>
      <c r="AH320" s="1638">
        <v>0</v>
      </c>
    </row>
    <row s="1642" customFormat="1" customHeight="1" ht="18.75" hidden="1">
      <c r="A321" s="1786" t="s">
        <v>264</v>
      </c>
      <c r="B321" s="1786" t="s">
        <v>265</v>
      </c>
      <c r="C321" s="376"/>
      <c r="D321" s="2482"/>
      <c r="E321" s="2224"/>
      <c r="F321" s="2403" t="str">
        <f>INDEX(PT_DIFFERENTIATION_VTAR,MATCH(A321,PT_DIFFERENTIATION_VTAR_ID,0))</f>
        <v>Тариф на водоотведение</v>
      </c>
      <c r="G321" s="2447" t="str">
        <f>INDEX(PT_DIFFERENTIATION_NTAR,MATCH(B321,PT_DIFFERENTIATION_NTAR_ID,0))</f>
        <v/>
      </c>
      <c r="H321" s="1866"/>
      <c r="I321" s="1745"/>
      <c r="J321" s="1779"/>
      <c r="K321" s="1784"/>
      <c r="L321" s="1866" t="s">
        <v>305</v>
      </c>
      <c r="M321" s="348"/>
      <c r="N321" s="341"/>
      <c r="O321" s="1631"/>
      <c r="P321" s="1631"/>
      <c r="AH321" s="1638">
        <v>0</v>
      </c>
    </row>
    <row s="1642" customFormat="1" customHeight="1" ht="18.75" hidden="1">
      <c r="A322" s="1786"/>
      <c r="B322" s="1786"/>
      <c r="C322" s="376" t="s">
        <v>1244</v>
      </c>
      <c r="D322" s="2482"/>
      <c r="E322" s="2224"/>
      <c r="F322" s="2403"/>
      <c r="G322" s="2447"/>
      <c r="H322" s="1507"/>
      <c r="I322" s="658" t="s">
        <v>1243</v>
      </c>
      <c r="J322" s="578"/>
      <c r="K322" s="1507"/>
      <c r="L322" s="221"/>
      <c r="M322" s="348"/>
      <c r="N322" s="341"/>
      <c r="O322" s="1631"/>
      <c r="P322" s="1631"/>
      <c r="AH322" s="1638">
        <v>0</v>
      </c>
    </row>
    <row s="1642" customFormat="1" customHeight="1" ht="0.75" hidden="1">
      <c r="A323" s="1786"/>
      <c r="B323" s="1786"/>
      <c r="C323" s="376" t="s">
        <v>1251</v>
      </c>
      <c r="D323" s="2482"/>
      <c r="E323" s="2224"/>
      <c r="F323" s="2403"/>
      <c r="G323" s="407"/>
      <c r="H323" s="1507"/>
      <c r="I323" s="658"/>
      <c r="J323" s="578"/>
      <c r="K323" s="1507"/>
      <c r="L323" s="221"/>
      <c r="M323" s="348"/>
      <c r="N323" s="341"/>
      <c r="O323" s="1631"/>
      <c r="P323" s="1631"/>
      <c r="AH323" s="1638">
        <v>0</v>
      </c>
    </row>
    <row s="1642" customFormat="1" customHeight="1" ht="18.75" hidden="1">
      <c r="A324" s="1786" t="s">
        <v>269</v>
      </c>
      <c r="B324" s="1786" t="s">
        <v>270</v>
      </c>
      <c r="C324" s="376"/>
      <c r="D324" s="2482"/>
      <c r="E324" s="2224"/>
      <c r="F324" s="2403" t="str">
        <f>INDEX(PT_DIFFERENTIATION_VTAR,MATCH(A324,PT_DIFFERENTIATION_VTAR_ID,0))</f>
        <v>Тариф на транспортировку сточных вод</v>
      </c>
      <c r="G324" s="2447" t="str">
        <f>INDEX(PT_DIFFERENTIATION_NTAR,MATCH(B324,PT_DIFFERENTIATION_NTAR_ID,0))</f>
        <v/>
      </c>
      <c r="H324" s="1866"/>
      <c r="I324" s="1745"/>
      <c r="J324" s="1779"/>
      <c r="K324" s="1784"/>
      <c r="L324" s="1866" t="s">
        <v>305</v>
      </c>
      <c r="M324" s="348"/>
      <c r="N324" s="341"/>
      <c r="O324" s="1631"/>
      <c r="P324" s="1631"/>
      <c r="AH324" s="1638">
        <v>0</v>
      </c>
    </row>
    <row s="1642" customFormat="1" customHeight="1" ht="18.75" hidden="1">
      <c r="A325" s="1786"/>
      <c r="B325" s="1786"/>
      <c r="C325" s="376" t="s">
        <v>1244</v>
      </c>
      <c r="D325" s="2482"/>
      <c r="E325" s="2224"/>
      <c r="F325" s="2403"/>
      <c r="G325" s="2447"/>
      <c r="H325" s="1507"/>
      <c r="I325" s="658" t="s">
        <v>1243</v>
      </c>
      <c r="J325" s="578"/>
      <c r="K325" s="1507"/>
      <c r="L325" s="221"/>
      <c r="M325" s="348"/>
      <c r="N325" s="341"/>
      <c r="O325" s="1631"/>
      <c r="P325" s="1631"/>
      <c r="AH325" s="1638">
        <v>0</v>
      </c>
    </row>
    <row s="1642" customFormat="1" customHeight="1" ht="0.75" hidden="1">
      <c r="A326" s="1786"/>
      <c r="B326" s="1786"/>
      <c r="C326" s="376" t="s">
        <v>1251</v>
      </c>
      <c r="D326" s="2482"/>
      <c r="E326" s="2224"/>
      <c r="F326" s="2403"/>
      <c r="G326" s="407"/>
      <c r="H326" s="1507"/>
      <c r="I326" s="658"/>
      <c r="J326" s="578"/>
      <c r="K326" s="1507"/>
      <c r="L326" s="221"/>
      <c r="M326" s="348"/>
      <c r="N326" s="341"/>
      <c r="O326" s="1631"/>
      <c r="P326" s="1631"/>
      <c r="AH326" s="1638">
        <v>0</v>
      </c>
    </row>
    <row s="1642" customFormat="1" customHeight="1" ht="18.75" hidden="1">
      <c r="A327" s="1786" t="s">
        <v>274</v>
      </c>
      <c r="B327" s="1786" t="s">
        <v>275</v>
      </c>
      <c r="C327" s="376"/>
      <c r="D327" s="2482"/>
      <c r="E327" s="2224"/>
      <c r="F327" s="2403" t="str">
        <f>INDEX(PT_DIFFERENTIATION_VTAR,MATCH(A327,PT_DIFFERENTIATION_VTAR_ID,0))</f>
        <v>Тариф на подключение (технологическое присоединение) к централизованной системе водоотведения</v>
      </c>
      <c r="G327" s="2447" t="str">
        <f>INDEX(PT_DIFFERENTIATION_NTAR,MATCH(B327,PT_DIFFERENTIATION_NTAR_ID,0))</f>
        <v/>
      </c>
      <c r="H327" s="1866"/>
      <c r="I327" s="1745"/>
      <c r="J327" s="1779"/>
      <c r="K327" s="1784"/>
      <c r="L327" s="1866" t="s">
        <v>305</v>
      </c>
      <c r="M327" s="348"/>
      <c r="N327" s="341"/>
      <c r="O327" s="1631"/>
      <c r="P327" s="1631"/>
      <c r="AH327" s="1638">
        <v>0</v>
      </c>
    </row>
    <row s="1642" customFormat="1" customHeight="1" ht="18.75" hidden="1">
      <c r="A328" s="1786"/>
      <c r="B328" s="1786"/>
      <c r="C328" s="376" t="s">
        <v>1244</v>
      </c>
      <c r="D328" s="2482"/>
      <c r="E328" s="2224"/>
      <c r="F328" s="2403"/>
      <c r="G328" s="2447"/>
      <c r="H328" s="1507"/>
      <c r="I328" s="658" t="s">
        <v>1243</v>
      </c>
      <c r="J328" s="578"/>
      <c r="K328" s="1507"/>
      <c r="L328" s="221"/>
      <c r="M328" s="348"/>
      <c r="N328" s="341"/>
      <c r="O328" s="1631"/>
      <c r="P328" s="1631"/>
      <c r="AH328" s="1638">
        <v>0</v>
      </c>
    </row>
    <row s="1642" customFormat="1" customHeight="1" ht="1.05">
      <c r="A329" s="1786"/>
      <c r="B329" s="1786"/>
      <c r="C329" s="376" t="s">
        <v>1251</v>
      </c>
      <c r="D329" s="2482"/>
      <c r="E329" s="2224"/>
      <c r="F329" s="2403"/>
      <c r="G329" s="407"/>
      <c r="H329" s="1507"/>
      <c r="I329" s="658"/>
      <c r="J329" s="578"/>
      <c r="K329" s="1507"/>
      <c r="L329" s="221"/>
      <c r="M329" s="348"/>
      <c r="N329" s="341"/>
      <c r="O329" s="1631"/>
      <c r="P329" s="1631"/>
      <c r="AH329" s="1638">
        <v>1</v>
      </c>
    </row>
    <row s="1829" customFormat="1" customHeight="1" ht="3">
      <c r="A330" s="1786"/>
      <c r="B330" s="1786"/>
      <c r="C330" s="1787"/>
      <c r="E330" s="409"/>
      <c r="F330" s="409"/>
      <c r="G330" s="409"/>
      <c r="H330" s="409"/>
      <c r="I330" s="409"/>
      <c r="J330" s="409"/>
      <c r="K330" s="409"/>
      <c r="L330" s="409"/>
      <c r="M330" s="409"/>
      <c r="O330" s="203"/>
      <c r="P330" s="203"/>
      <c r="AH330" s="147">
        <v>3</v>
      </c>
    </row>
    <row customHeight="1" ht="26.25">
      <c r="E331" s="209"/>
      <c r="F331" s="2305"/>
      <c r="G331" s="2305"/>
      <c r="H331" s="2305"/>
      <c r="I331" s="2305"/>
      <c r="J331" s="2305"/>
      <c r="K331" s="2305"/>
      <c r="L331" s="2305"/>
      <c r="M331" s="2305"/>
      <c r="AH331" s="381">
        <v>25</v>
      </c>
    </row>
    <row customHeight="1" ht="14.25" hidden="1">
      <c r="A332" s="1785" t="s">
        <v>81</v>
      </c>
      <c r="B332" s="1785">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DCA3A-5D25-4A9B-0F6D-0.7BD7512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7"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6" t="s">
        <v>576</v>
      </c>
      <c r="D2" s="1679"/>
      <c r="E2" s="1688"/>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7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75"/>
      <c r="F5" s="2475"/>
      <c r="G5" s="2476"/>
      <c r="H5" s="273"/>
      <c r="R5" s="381">
        <v>33</v>
      </c>
    </row>
    <row s="1642" customFormat="1" customHeight="1" ht="18">
      <c r="A6" s="1675"/>
      <c r="B6" s="1167"/>
      <c r="C6" s="383"/>
      <c r="D6" s="2477" t="str">
        <f>IF(org=0,"Не определено",org)</f>
        <v>ИМУП «ПОСЖИЛКОМСЕРВИС»</v>
      </c>
      <c r="E6" s="2478"/>
      <c r="F6" s="2478"/>
      <c r="G6" s="2479"/>
      <c r="H6" s="273"/>
      <c r="J6" s="1631"/>
      <c r="K6" s="1631"/>
      <c r="R6" s="1638">
        <v>17</v>
      </c>
    </row>
    <row customHeight="1" ht="14.699999999999998">
      <c r="C7" s="383"/>
      <c r="D7" s="370"/>
      <c r="E7" s="396"/>
      <c r="F7" s="396"/>
      <c r="G7" s="759"/>
      <c r="H7" s="200"/>
      <c r="R7" s="381">
        <v>14</v>
      </c>
    </row>
    <row customHeight="1" ht="14.699999999999998">
      <c r="C8" s="383"/>
      <c r="D8" s="2229" t="s">
        <v>299</v>
      </c>
      <c r="E8" s="2229"/>
      <c r="F8" s="2229"/>
      <c r="G8" s="2229"/>
      <c r="H8" s="2409" t="s">
        <v>300</v>
      </c>
      <c r="R8" s="381">
        <v>14</v>
      </c>
    </row>
    <row customHeight="1" ht="24">
      <c r="C9" s="383"/>
      <c r="D9" s="393" t="s">
        <v>87</v>
      </c>
      <c r="E9" s="115" t="s">
        <v>301</v>
      </c>
      <c r="F9" s="115" t="s">
        <v>302</v>
      </c>
      <c r="G9" s="115" t="s">
        <v>389</v>
      </c>
      <c r="H9" s="2409"/>
      <c r="R9" s="381">
        <v>23</v>
      </c>
    </row>
    <row customHeight="1" ht="14.699999999999998">
      <c r="A10" s="350"/>
      <c r="C10" s="383"/>
      <c r="D10" s="154"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4"/>
      <c r="G10" s="220"/>
      <c r="H10" s="2189" t="s">
        <v>1252</v>
      </c>
      <c r="R10" s="381">
        <v>14</v>
      </c>
    </row>
    <row customHeight="1" ht="14.699999999999998">
      <c r="A11" s="350"/>
      <c r="C11" s="383"/>
      <c r="D11" s="154"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4"/>
      <c r="G11" s="220"/>
      <c r="H11" s="2190"/>
      <c r="R11" s="381">
        <v>14</v>
      </c>
    </row>
    <row customHeight="1" ht="14.699999999999998">
      <c r="A12" s="109"/>
      <c r="C12" s="394"/>
      <c r="D12" s="154" t="s">
        <v>89</v>
      </c>
      <c r="E12" s="395" t="str">
        <f>"Сведения о планировании закупочных процедур"&amp;IF(TEMPLATE_SPHERE="TKO"," &lt;1&gt;","")</f>
        <v>Сведения о планировании закупочных процедур</v>
      </c>
      <c r="F12" s="264"/>
      <c r="G12" s="220"/>
      <c r="H12" s="21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7"/>
      <c r="K12" s="381"/>
      <c r="R12" s="381">
        <v>14</v>
      </c>
    </row>
    <row customHeight="1" ht="14.699999999999998">
      <c r="A13" s="109"/>
      <c r="C13" s="394"/>
      <c r="D13" s="154" t="s">
        <v>90</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90"/>
      <c r="I13" s="357"/>
      <c r="K13" s="381"/>
      <c r="R13" s="381">
        <v>14</v>
      </c>
    </row>
    <row customHeight="1" ht="14.699999999999998">
      <c r="A14" s="350"/>
      <c r="C14" s="383"/>
      <c r="D14" s="354"/>
      <c r="E14" s="402" t="s">
        <v>321</v>
      </c>
      <c r="F14" s="356"/>
      <c r="G14" s="208"/>
      <c r="H14" s="2191"/>
      <c r="R14" s="381">
        <v>14</v>
      </c>
    </row>
    <row s="1642" customFormat="1" customHeight="1" ht="14.699999999999998">
      <c r="A15" s="350"/>
      <c r="B15" s="1167"/>
      <c r="C15" s="383"/>
      <c r="D15" s="403"/>
      <c r="E15" s="1683"/>
      <c r="F15" s="1684"/>
      <c r="G15" s="1685"/>
      <c r="H15" s="1686"/>
      <c r="J15" s="1631"/>
      <c r="K15" s="1631"/>
      <c r="R15" s="1638">
        <v>14</v>
      </c>
    </row>
    <row customHeight="1" ht="14.699999999999998">
      <c r="D16" s="1687"/>
      <c r="E16" s="2405"/>
      <c r="F16" s="2405"/>
      <c r="G16" s="2405"/>
      <c r="H16" s="2405"/>
      <c r="R16" s="381">
        <v>14</v>
      </c>
    </row>
    <row customHeight="1" ht="22.5" hidden="1">
      <c r="A17" s="371" t="s">
        <v>81</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8BD89-D263-E562-F57C-0.5692D7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1"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57"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7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8"/>
      <c r="F5" s="2178"/>
      <c r="G5" s="2178"/>
      <c r="H5" s="2178"/>
      <c r="I5" s="2178"/>
      <c r="J5" s="2179"/>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83" t="str">
        <f>IF(org=0,"Не определено",org)</f>
        <v>ИМУП «ПОСЖИЛКОМСЕРВИС»</v>
      </c>
      <c r="E6" s="2183"/>
      <c r="F6" s="2183"/>
      <c r="G6" s="2183"/>
      <c r="H6" s="2183"/>
      <c r="I6" s="2183"/>
      <c r="J6" s="2183"/>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80"/>
      <c r="E7" s="2181"/>
      <c r="F7" s="2181"/>
      <c r="G7" s="2181"/>
      <c r="H7" s="2181"/>
      <c r="I7" s="2181"/>
      <c r="J7" s="2182"/>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47" t="s">
        <v>87</v>
      </c>
      <c r="E9" s="2121" t="s">
        <v>123</v>
      </c>
      <c r="F9" s="2123"/>
      <c r="G9" s="2147" t="s">
        <v>105</v>
      </c>
      <c r="H9" s="2147" t="s">
        <v>87</v>
      </c>
      <c r="I9" s="2147"/>
      <c r="J9" s="2147" t="s">
        <v>124</v>
      </c>
      <c r="K9" s="2175" t="s">
        <v>125</v>
      </c>
      <c r="L9" s="2175"/>
      <c r="M9" s="2175"/>
      <c r="N9" s="2175"/>
      <c r="O9" s="2175" t="s">
        <v>126</v>
      </c>
      <c r="P9" s="2175"/>
      <c r="Q9" s="2175"/>
      <c r="R9" s="2175"/>
      <c r="S9" s="2175" t="s">
        <v>127</v>
      </c>
      <c r="T9" s="2175"/>
      <c r="U9" s="2175"/>
      <c r="V9" s="2175"/>
      <c r="W9" s="2147" t="s">
        <v>128</v>
      </c>
      <c r="AR9" s="111">
        <v>27</v>
      </c>
    </row>
    <row customHeight="1" ht="31.5">
      <c r="D10" s="2147"/>
      <c r="E10" s="1291" t="s">
        <v>88</v>
      </c>
      <c r="F10" s="1291" t="s">
        <v>129</v>
      </c>
      <c r="G10" s="2147"/>
      <c r="H10" s="2147"/>
      <c r="I10" s="2147"/>
      <c r="J10" s="2147"/>
      <c r="K10" s="117" t="s">
        <v>108</v>
      </c>
      <c r="L10" s="2147" t="s">
        <v>87</v>
      </c>
      <c r="M10" s="2147"/>
      <c r="N10" s="117" t="s">
        <v>130</v>
      </c>
      <c r="O10" s="117" t="s">
        <v>108</v>
      </c>
      <c r="P10" s="2147" t="s">
        <v>87</v>
      </c>
      <c r="Q10" s="2147"/>
      <c r="R10" s="117" t="s">
        <v>130</v>
      </c>
      <c r="S10" s="290" t="s">
        <v>108</v>
      </c>
      <c r="T10" s="2147" t="s">
        <v>87</v>
      </c>
      <c r="U10" s="2147"/>
      <c r="V10" s="290" t="s">
        <v>88</v>
      </c>
      <c r="W10" s="2147"/>
      <c r="Z10" s="1266" t="s">
        <v>131</v>
      </c>
      <c r="AA10" s="1266" t="s">
        <v>132</v>
      </c>
      <c r="AB10" s="1266" t="s">
        <v>133</v>
      </c>
      <c r="AC10" s="1266" t="s">
        <v>134</v>
      </c>
      <c r="AD10" s="1266" t="s">
        <v>135</v>
      </c>
      <c r="AE10" s="1266" t="s">
        <v>136</v>
      </c>
      <c r="AF10" s="1266" t="s">
        <v>137</v>
      </c>
      <c r="AG10" s="1266" t="s">
        <v>138</v>
      </c>
      <c r="AH10" s="1266" t="s">
        <v>139</v>
      </c>
      <c r="AI10" s="1266" t="s">
        <v>140</v>
      </c>
      <c r="AJ10" s="1266" t="s">
        <v>141</v>
      </c>
      <c r="AK10" s="1266" t="s">
        <v>142</v>
      </c>
      <c r="AL10" s="1266" t="s">
        <v>143</v>
      </c>
      <c r="AM10" s="1266" t="s">
        <v>144</v>
      </c>
      <c r="AN10" s="1266" t="s">
        <v>145</v>
      </c>
      <c r="AO10" s="1266" t="s">
        <v>146</v>
      </c>
      <c r="AP10" s="1266" t="s">
        <v>147</v>
      </c>
      <c r="AQ10" s="1266" t="s">
        <v>148</v>
      </c>
      <c r="AR10" s="111">
        <v>30</v>
      </c>
    </row>
    <row s="1631" customFormat="1" customHeight="1" ht="12" hidden="1">
      <c r="D11" s="1256" t="s">
        <v>109</v>
      </c>
      <c r="E11" s="1256" t="s">
        <v>110</v>
      </c>
      <c r="F11" s="1256"/>
      <c r="G11" s="1256" t="s">
        <v>89</v>
      </c>
      <c r="H11" s="2176" t="s">
        <v>111</v>
      </c>
      <c r="I11" s="2176"/>
      <c r="J11" s="1256" t="s">
        <v>91</v>
      </c>
      <c r="K11" s="1256" t="s">
        <v>92</v>
      </c>
      <c r="L11" s="2176" t="s">
        <v>112</v>
      </c>
      <c r="M11" s="2176"/>
      <c r="N11" s="1256" t="s">
        <v>149</v>
      </c>
      <c r="O11" s="1256" t="s">
        <v>150</v>
      </c>
      <c r="P11" s="2176" t="s">
        <v>151</v>
      </c>
      <c r="Q11" s="2176"/>
      <c r="R11" s="1256" t="s">
        <v>152</v>
      </c>
      <c r="S11" s="1256" t="s">
        <v>151</v>
      </c>
      <c r="T11" s="2176" t="s">
        <v>152</v>
      </c>
      <c r="U11" s="2176"/>
      <c r="V11" s="1256" t="s">
        <v>153</v>
      </c>
      <c r="W11" s="1256" t="s">
        <v>154</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57" customFormat="1" customHeight="1" ht="17.25" hidden="1">
      <c r="A13" s="328"/>
      <c r="C13" s="216"/>
      <c r="D13" s="2155">
        <v>1</v>
      </c>
      <c r="E13" s="2163" t="s">
        <v>155</v>
      </c>
      <c r="F13" s="2165" t="s">
        <v>19</v>
      </c>
      <c r="G13" s="2163"/>
      <c r="H13" s="2168"/>
      <c r="I13" s="2170"/>
      <c r="J13" s="2172"/>
      <c r="K13" s="2157"/>
      <c r="L13" s="2157"/>
      <c r="M13" s="2157"/>
      <c r="N13" s="2159"/>
      <c r="O13" s="2157"/>
      <c r="P13" s="2157"/>
      <c r="Q13" s="2157"/>
      <c r="R13" s="2162"/>
      <c r="S13" s="2157"/>
      <c r="T13" s="1427"/>
      <c r="U13" s="1427"/>
      <c r="V13" s="1426"/>
      <c r="W13" s="1303"/>
      <c r="Y13" s="1274"/>
      <c r="Z13" s="1274"/>
      <c r="AA13" s="1274"/>
      <c r="AB13" s="1274"/>
      <c r="AC13" s="1274" t="s">
        <v>156</v>
      </c>
      <c r="AD13" s="1274" t="s">
        <v>157</v>
      </c>
      <c r="AE13" s="1274" t="s">
        <v>158</v>
      </c>
      <c r="AF13" s="1274" t="s">
        <v>159</v>
      </c>
      <c r="AG13" s="1274" t="s">
        <v>160</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57" customFormat="1" customHeight="1" ht="17.25" hidden="1">
      <c r="A14" s="328"/>
      <c r="C14" s="327"/>
      <c r="D14" s="2155"/>
      <c r="E14" s="2163"/>
      <c r="F14" s="2166"/>
      <c r="G14" s="2163"/>
      <c r="H14" s="2169"/>
      <c r="I14" s="2171"/>
      <c r="J14" s="2173"/>
      <c r="K14" s="2158"/>
      <c r="L14" s="2158"/>
      <c r="M14" s="2158"/>
      <c r="N14" s="2160"/>
      <c r="O14" s="2158"/>
      <c r="P14" s="2158"/>
      <c r="Q14" s="2158"/>
      <c r="R14" s="2161"/>
      <c r="S14" s="2158"/>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57" customFormat="1" customHeight="1" ht="17.25" hidden="1">
      <c r="A15" s="328"/>
      <c r="C15" s="216"/>
      <c r="D15" s="2155"/>
      <c r="E15" s="2163"/>
      <c r="F15" s="2166"/>
      <c r="G15" s="2163"/>
      <c r="H15" s="2169"/>
      <c r="I15" s="2171"/>
      <c r="J15" s="2174"/>
      <c r="K15" s="2158"/>
      <c r="L15" s="2158"/>
      <c r="M15" s="2158"/>
      <c r="N15" s="2161"/>
      <c r="O15" s="2158"/>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57" customFormat="1" customHeight="1" ht="17.25" hidden="1">
      <c r="A16" s="328"/>
      <c r="C16" s="327"/>
      <c r="D16" s="2155"/>
      <c r="E16" s="2163"/>
      <c r="F16" s="2166"/>
      <c r="G16" s="2163"/>
      <c r="H16" s="2169"/>
      <c r="I16" s="2171"/>
      <c r="J16" s="2174"/>
      <c r="K16" s="2158"/>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57" customFormat="1" customHeight="1" ht="17.25" hidden="1">
      <c r="A17" s="328"/>
      <c r="C17" s="327"/>
      <c r="D17" s="2156"/>
      <c r="E17" s="2164"/>
      <c r="F17" s="2167"/>
      <c r="G17" s="2164"/>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57" customFormat="1" customHeight="1" ht="17.25" hidden="1">
      <c r="A18" s="328"/>
      <c r="C18" s="216"/>
      <c r="D18" s="2155">
        <v>2</v>
      </c>
      <c r="E18" s="2184"/>
      <c r="F18" s="2165" t="s">
        <v>19</v>
      </c>
      <c r="G18" s="2163"/>
      <c r="H18" s="2168"/>
      <c r="I18" s="2170"/>
      <c r="J18" s="2172"/>
      <c r="K18" s="2157"/>
      <c r="L18" s="2157"/>
      <c r="M18" s="2157"/>
      <c r="N18" s="2159"/>
      <c r="O18" s="2157"/>
      <c r="P18" s="2157"/>
      <c r="Q18" s="2157"/>
      <c r="R18" s="2162"/>
      <c r="S18" s="2157"/>
      <c r="T18" s="1427"/>
      <c r="U18" s="1427"/>
      <c r="V18" s="1426"/>
      <c r="W18" s="1303"/>
      <c r="X18" s="1274"/>
      <c r="Y18" s="1274"/>
      <c r="Z18" s="1274"/>
      <c r="AA18" s="1274"/>
      <c r="AB18" s="1274"/>
      <c r="AC18" s="1274" t="s">
        <v>161</v>
      </c>
      <c r="AD18" s="1274" t="s">
        <v>162</v>
      </c>
      <c r="AE18" s="1274" t="s">
        <v>163</v>
      </c>
      <c r="AF18" s="1274" t="s">
        <v>164</v>
      </c>
      <c r="AG18" s="1274" t="s">
        <v>165</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8">
        <f>$I$18</f>
        <v>0</v>
      </c>
      <c r="AO18" s="1274" t="str">
        <f>$I$18&amp;"."&amp;$M$18</f>
        <v>.</v>
      </c>
      <c r="AP18" s="1266" t="str">
        <f>$I$18&amp;"."&amp;$M$18&amp;"."&amp;$Q$18</f>
        <v>..</v>
      </c>
      <c r="AQ18" s="1266" t="str">
        <f>$I$18&amp;"."&amp;$M$18&amp;"."&amp;$Q$18&amp;"."&amp;$U$18</f>
        <v>...</v>
      </c>
      <c r="AR18" s="1290">
        <v>0</v>
      </c>
    </row>
    <row s="1857" customFormat="1" customHeight="1" ht="17.25" hidden="1">
      <c r="A19" s="328"/>
      <c r="C19" s="327"/>
      <c r="D19" s="2155"/>
      <c r="E19" s="2184"/>
      <c r="F19" s="2166"/>
      <c r="G19" s="2163"/>
      <c r="H19" s="2169"/>
      <c r="I19" s="2171"/>
      <c r="J19" s="2173"/>
      <c r="K19" s="2158"/>
      <c r="L19" s="2158"/>
      <c r="M19" s="2158"/>
      <c r="N19" s="2160"/>
      <c r="O19" s="2158"/>
      <c r="P19" s="2158"/>
      <c r="Q19" s="2158"/>
      <c r="R19" s="2161"/>
      <c r="S19" s="2158"/>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57" customFormat="1" customHeight="1" ht="17.25" hidden="1">
      <c r="A20" s="328"/>
      <c r="C20" s="327"/>
      <c r="D20" s="2156"/>
      <c r="E20" s="2185"/>
      <c r="F20" s="2166"/>
      <c r="G20" s="2164"/>
      <c r="H20" s="2169"/>
      <c r="I20" s="2171"/>
      <c r="J20" s="2174"/>
      <c r="K20" s="2158"/>
      <c r="L20" s="2158"/>
      <c r="M20" s="2158"/>
      <c r="N20" s="2161"/>
      <c r="O20" s="2158"/>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57" customFormat="1" customHeight="1" ht="17.25" hidden="1">
      <c r="A21" s="328"/>
      <c r="C21" s="327"/>
      <c r="D21" s="2156"/>
      <c r="E21" s="2185"/>
      <c r="F21" s="2166"/>
      <c r="G21" s="2164"/>
      <c r="H21" s="2169"/>
      <c r="I21" s="2171"/>
      <c r="J21" s="2174"/>
      <c r="K21" s="2158"/>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57" customFormat="1" customHeight="1" ht="17.25" hidden="1">
      <c r="A22" s="328"/>
      <c r="C22" s="327"/>
      <c r="D22" s="2156"/>
      <c r="E22" s="2185"/>
      <c r="F22" s="2167"/>
      <c r="G22" s="2164"/>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57" customFormat="1" customHeight="1" ht="17.25" hidden="1">
      <c r="A23" s="328"/>
      <c r="C23" s="216"/>
      <c r="D23" s="2155">
        <v>2</v>
      </c>
      <c r="E23" s="2163" t="s">
        <v>166</v>
      </c>
      <c r="F23" s="2165" t="s">
        <v>19</v>
      </c>
      <c r="G23" s="2163"/>
      <c r="H23" s="2168"/>
      <c r="I23" s="2170"/>
      <c r="J23" s="2172"/>
      <c r="K23" s="2157"/>
      <c r="L23" s="2157"/>
      <c r="M23" s="2157"/>
      <c r="N23" s="2159"/>
      <c r="O23" s="2157"/>
      <c r="P23" s="2157"/>
      <c r="Q23" s="2157"/>
      <c r="R23" s="2162"/>
      <c r="S23" s="2157"/>
      <c r="T23" s="2002"/>
      <c r="U23" s="2002"/>
      <c r="V23" s="2004"/>
      <c r="W23" s="1303"/>
      <c r="X23" s="1274"/>
      <c r="Y23" s="1274"/>
      <c r="Z23" s="1274"/>
      <c r="AA23" s="1274"/>
      <c r="AB23" s="1274"/>
      <c r="AC23" s="1274" t="s">
        <v>161</v>
      </c>
      <c r="AD23" s="1274" t="s">
        <v>162</v>
      </c>
      <c r="AE23" s="1274" t="s">
        <v>163</v>
      </c>
      <c r="AF23" s="1274" t="s">
        <v>164</v>
      </c>
      <c r="AG23" s="1274" t="s">
        <v>165</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8">
        <f>$I$23</f>
        <v>0</v>
      </c>
      <c r="AO23" s="1274" t="str">
        <f>$I$23&amp;"."&amp;$M$23</f>
        <v>.</v>
      </c>
      <c r="AP23" s="1273" t="str">
        <f>$I$23&amp;"."&amp;$M$23&amp;"."&amp;$Q$23</f>
        <v>..</v>
      </c>
      <c r="AQ23" s="1273" t="str">
        <f>$I$23&amp;"."&amp;$M$23&amp;"."&amp;$Q$23&amp;"."&amp;$U$23</f>
        <v>...</v>
      </c>
      <c r="AR23" s="1474">
        <v>0</v>
      </c>
    </row>
    <row s="1857" customFormat="1" customHeight="1" ht="17.25" hidden="1">
      <c r="A24" s="328"/>
      <c r="C24" s="327"/>
      <c r="D24" s="2155"/>
      <c r="E24" s="2163"/>
      <c r="F24" s="2166"/>
      <c r="G24" s="2163"/>
      <c r="H24" s="2169"/>
      <c r="I24" s="2171"/>
      <c r="J24" s="2173"/>
      <c r="K24" s="2158"/>
      <c r="L24" s="2158"/>
      <c r="M24" s="2158"/>
      <c r="N24" s="2160"/>
      <c r="O24" s="2158"/>
      <c r="P24" s="2158"/>
      <c r="Q24" s="2158"/>
      <c r="R24" s="2161"/>
      <c r="S24" s="2158"/>
      <c r="T24" s="2007"/>
      <c r="U24" s="2007"/>
      <c r="V24" s="2007"/>
      <c r="W24" s="2008"/>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57" customFormat="1" customHeight="1" ht="17.25" hidden="1">
      <c r="A25" s="328"/>
      <c r="C25" s="327"/>
      <c r="D25" s="2156"/>
      <c r="E25" s="2164"/>
      <c r="F25" s="2166"/>
      <c r="G25" s="2164"/>
      <c r="H25" s="2169"/>
      <c r="I25" s="2171"/>
      <c r="J25" s="2174"/>
      <c r="K25" s="2158"/>
      <c r="L25" s="2158"/>
      <c r="M25" s="2158"/>
      <c r="N25" s="2161"/>
      <c r="O25" s="2158"/>
      <c r="P25" s="2003"/>
      <c r="Q25" s="2007"/>
      <c r="R25" s="2007"/>
      <c r="S25" s="336"/>
      <c r="T25" s="336"/>
      <c r="U25" s="336"/>
      <c r="V25" s="336"/>
      <c r="W25" s="2008"/>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57" customFormat="1" customHeight="1" ht="17.25" hidden="1">
      <c r="A26" s="328"/>
      <c r="C26" s="327"/>
      <c r="D26" s="2156"/>
      <c r="E26" s="2164"/>
      <c r="F26" s="2166"/>
      <c r="G26" s="2164"/>
      <c r="H26" s="2169"/>
      <c r="I26" s="2171"/>
      <c r="J26" s="2174"/>
      <c r="K26" s="2158"/>
      <c r="L26" s="2007"/>
      <c r="M26" s="2007"/>
      <c r="N26" s="2007"/>
      <c r="O26" s="2007"/>
      <c r="P26" s="2007"/>
      <c r="Q26" s="2007"/>
      <c r="R26" s="2007"/>
      <c r="S26" s="336"/>
      <c r="T26" s="336"/>
      <c r="U26" s="336"/>
      <c r="V26" s="336"/>
      <c r="W26" s="2008"/>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57" customFormat="1" customHeight="1" ht="17.25" hidden="1">
      <c r="A27" s="328"/>
      <c r="C27" s="327"/>
      <c r="D27" s="2156"/>
      <c r="E27" s="2164"/>
      <c r="F27" s="2167"/>
      <c r="G27" s="2164"/>
      <c r="H27" s="1306"/>
      <c r="I27" s="2005"/>
      <c r="J27" s="2005"/>
      <c r="K27" s="2005"/>
      <c r="L27" s="2005"/>
      <c r="M27" s="2005"/>
      <c r="N27" s="2005"/>
      <c r="O27" s="2005"/>
      <c r="P27" s="2005"/>
      <c r="Q27" s="2005"/>
      <c r="R27" s="2005"/>
      <c r="S27" s="1308"/>
      <c r="T27" s="1308"/>
      <c r="U27" s="1308"/>
      <c r="V27" s="1308"/>
      <c r="W27" s="2006"/>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57" customFormat="1" customHeight="1" ht="17.25" hidden="1">
      <c r="A28" s="328"/>
      <c r="C28" s="216"/>
      <c r="D28" s="2155">
        <v>3</v>
      </c>
      <c r="E28" s="2163" t="s">
        <v>167</v>
      </c>
      <c r="F28" s="2165" t="s">
        <v>19</v>
      </c>
      <c r="G28" s="2163"/>
      <c r="H28" s="2168"/>
      <c r="I28" s="2170"/>
      <c r="J28" s="2172"/>
      <c r="K28" s="2157"/>
      <c r="L28" s="2157"/>
      <c r="M28" s="2157"/>
      <c r="N28" s="2159"/>
      <c r="O28" s="2157"/>
      <c r="P28" s="2157"/>
      <c r="Q28" s="2157"/>
      <c r="R28" s="2162"/>
      <c r="S28" s="2157"/>
      <c r="T28" s="1427"/>
      <c r="U28" s="1427"/>
      <c r="V28" s="1426"/>
      <c r="W28" s="1303"/>
      <c r="X28" s="1274"/>
      <c r="Y28" s="1274"/>
      <c r="Z28" s="1274"/>
      <c r="AA28" s="1274"/>
      <c r="AB28" s="1274"/>
      <c r="AC28" s="1274" t="s">
        <v>168</v>
      </c>
      <c r="AD28" s="1274" t="s">
        <v>169</v>
      </c>
      <c r="AE28" s="1274" t="s">
        <v>170</v>
      </c>
      <c r="AF28" s="1274" t="s">
        <v>171</v>
      </c>
      <c r="AG28" s="1274" t="s">
        <v>172</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8">
        <f>$I$28</f>
        <v>0</v>
      </c>
      <c r="AO28" s="1274" t="str">
        <f>$I$28&amp;"."&amp;$M$28</f>
        <v>.</v>
      </c>
      <c r="AP28" s="1266" t="str">
        <f>$I$28&amp;"."&amp;$M$28&amp;"."&amp;$Q$28</f>
        <v>..</v>
      </c>
      <c r="AQ28" s="1266" t="str">
        <f>$I$28&amp;"."&amp;$M$28&amp;"."&amp;$Q$28&amp;"."&amp;$U$28</f>
        <v>...</v>
      </c>
      <c r="AR28" s="1290">
        <v>0</v>
      </c>
    </row>
    <row s="1857" customFormat="1" customHeight="1" ht="17.25" hidden="1">
      <c r="A29" s="328"/>
      <c r="C29" s="327"/>
      <c r="D29" s="2155"/>
      <c r="E29" s="2163"/>
      <c r="F29" s="2166"/>
      <c r="G29" s="2163"/>
      <c r="H29" s="2169"/>
      <c r="I29" s="2171"/>
      <c r="J29" s="2173"/>
      <c r="K29" s="2158"/>
      <c r="L29" s="2158"/>
      <c r="M29" s="2158"/>
      <c r="N29" s="2160"/>
      <c r="O29" s="2158"/>
      <c r="P29" s="2158"/>
      <c r="Q29" s="2158"/>
      <c r="R29" s="2161"/>
      <c r="S29" s="2158"/>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57" customFormat="1" customHeight="1" ht="17.25" hidden="1">
      <c r="A30" s="328"/>
      <c r="C30" s="327"/>
      <c r="D30" s="2156"/>
      <c r="E30" s="2164"/>
      <c r="F30" s="2166"/>
      <c r="G30" s="2164"/>
      <c r="H30" s="2169"/>
      <c r="I30" s="2171"/>
      <c r="J30" s="2174"/>
      <c r="K30" s="2158"/>
      <c r="L30" s="2158"/>
      <c r="M30" s="2158"/>
      <c r="N30" s="2161"/>
      <c r="O30" s="2158"/>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57" customFormat="1" customHeight="1" ht="17.25" hidden="1">
      <c r="A31" s="328"/>
      <c r="C31" s="327"/>
      <c r="D31" s="2156"/>
      <c r="E31" s="2164"/>
      <c r="F31" s="2166"/>
      <c r="G31" s="2164"/>
      <c r="H31" s="2169"/>
      <c r="I31" s="2171"/>
      <c r="J31" s="2174"/>
      <c r="K31" s="2158"/>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57" customFormat="1" customHeight="1" ht="17.25" hidden="1">
      <c r="A32" s="328"/>
      <c r="C32" s="327"/>
      <c r="D32" s="2156"/>
      <c r="E32" s="2164"/>
      <c r="F32" s="2167"/>
      <c r="G32" s="2164"/>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57" customFormat="1" customHeight="1" ht="17.25" hidden="1">
      <c r="A33" s="328"/>
      <c r="C33" s="216"/>
      <c r="D33" s="2155">
        <v>4</v>
      </c>
      <c r="E33" s="2163" t="s">
        <v>173</v>
      </c>
      <c r="F33" s="2165" t="s">
        <v>19</v>
      </c>
      <c r="G33" s="2163"/>
      <c r="H33" s="2168"/>
      <c r="I33" s="2170"/>
      <c r="J33" s="2172"/>
      <c r="K33" s="2157"/>
      <c r="L33" s="2157"/>
      <c r="M33" s="2157"/>
      <c r="N33" s="2159"/>
      <c r="O33" s="2157"/>
      <c r="P33" s="2157"/>
      <c r="Q33" s="2157"/>
      <c r="R33" s="2162"/>
      <c r="S33" s="2157"/>
      <c r="T33" s="1427"/>
      <c r="U33" s="1427"/>
      <c r="V33" s="1426"/>
      <c r="W33" s="1303"/>
      <c r="X33" s="1274"/>
      <c r="Y33" s="1274"/>
      <c r="Z33" s="1274"/>
      <c r="AA33" s="1274"/>
      <c r="AB33" s="1274"/>
      <c r="AC33" s="1274" t="s">
        <v>174</v>
      </c>
      <c r="AD33" s="1274" t="s">
        <v>175</v>
      </c>
      <c r="AE33" s="1274" t="s">
        <v>176</v>
      </c>
      <c r="AF33" s="1274" t="s">
        <v>177</v>
      </c>
      <c r="AG33" s="1274" t="s">
        <v>178</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8">
        <f>$I$33</f>
        <v>0</v>
      </c>
      <c r="AO33" s="1274" t="str">
        <f>$I$33&amp;"."&amp;$M$33</f>
        <v>.</v>
      </c>
      <c r="AP33" s="1266" t="str">
        <f>$I$33&amp;"."&amp;$M$33&amp;"."&amp;$Q$33</f>
        <v>..</v>
      </c>
      <c r="AQ33" s="1266" t="str">
        <f>$I$33&amp;"."&amp;$M$33&amp;"."&amp;$Q$33&amp;"."&amp;$U$33</f>
        <v>...</v>
      </c>
      <c r="AR33" s="1290">
        <v>0</v>
      </c>
    </row>
    <row s="1857" customFormat="1" customHeight="1" ht="17.25" hidden="1">
      <c r="A34" s="328"/>
      <c r="C34" s="327"/>
      <c r="D34" s="2155"/>
      <c r="E34" s="2163"/>
      <c r="F34" s="2166"/>
      <c r="G34" s="2163"/>
      <c r="H34" s="2169"/>
      <c r="I34" s="2171"/>
      <c r="J34" s="2173"/>
      <c r="K34" s="2158"/>
      <c r="L34" s="2158"/>
      <c r="M34" s="2158"/>
      <c r="N34" s="2160"/>
      <c r="O34" s="2158"/>
      <c r="P34" s="2158"/>
      <c r="Q34" s="2158"/>
      <c r="R34" s="2161"/>
      <c r="S34" s="2158"/>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57" customFormat="1" customHeight="1" ht="17.25" hidden="1">
      <c r="A35" s="328"/>
      <c r="C35" s="327"/>
      <c r="D35" s="2156"/>
      <c r="E35" s="2164"/>
      <c r="F35" s="2166"/>
      <c r="G35" s="2164"/>
      <c r="H35" s="2169"/>
      <c r="I35" s="2171"/>
      <c r="J35" s="2174"/>
      <c r="K35" s="2158"/>
      <c r="L35" s="2158"/>
      <c r="M35" s="2158"/>
      <c r="N35" s="2161"/>
      <c r="O35" s="2158"/>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57" customFormat="1" customHeight="1" ht="17.25" hidden="1">
      <c r="A36" s="328"/>
      <c r="C36" s="327"/>
      <c r="D36" s="2156"/>
      <c r="E36" s="2164"/>
      <c r="F36" s="2166"/>
      <c r="G36" s="2164"/>
      <c r="H36" s="2169"/>
      <c r="I36" s="2171"/>
      <c r="J36" s="2174"/>
      <c r="K36" s="2158"/>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57" customFormat="1" customHeight="1" ht="17.25" hidden="1">
      <c r="A37" s="328"/>
      <c r="C37" s="327"/>
      <c r="D37" s="2156"/>
      <c r="E37" s="2164"/>
      <c r="F37" s="2167"/>
      <c r="G37" s="2164"/>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57" customFormat="1" customHeight="1" ht="17.25" hidden="1">
      <c r="A38" s="328"/>
      <c r="C38" s="216"/>
      <c r="D38" s="2155">
        <v>5</v>
      </c>
      <c r="E38" s="2163" t="s">
        <v>179</v>
      </c>
      <c r="F38" s="2165" t="s">
        <v>19</v>
      </c>
      <c r="G38" s="2163"/>
      <c r="H38" s="2168"/>
      <c r="I38" s="2170"/>
      <c r="J38" s="2172"/>
      <c r="K38" s="2157"/>
      <c r="L38" s="2157"/>
      <c r="M38" s="2157"/>
      <c r="N38" s="2159"/>
      <c r="O38" s="2157"/>
      <c r="P38" s="2157"/>
      <c r="Q38" s="2157"/>
      <c r="R38" s="2162"/>
      <c r="S38" s="2157"/>
      <c r="T38" s="1427"/>
      <c r="U38" s="1427"/>
      <c r="V38" s="1426"/>
      <c r="W38" s="1303"/>
      <c r="X38" s="1274"/>
      <c r="Y38" s="1274"/>
      <c r="Z38" s="1274"/>
      <c r="AA38" s="1274"/>
      <c r="AB38" s="1274"/>
      <c r="AC38" s="1274" t="s">
        <v>180</v>
      </c>
      <c r="AD38" s="1274" t="s">
        <v>181</v>
      </c>
      <c r="AE38" s="1274" t="s">
        <v>182</v>
      </c>
      <c r="AF38" s="1274" t="s">
        <v>183</v>
      </c>
      <c r="AG38" s="1274" t="s">
        <v>184</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8">
        <f>$I$38</f>
        <v>0</v>
      </c>
      <c r="AO38" s="1274" t="str">
        <f>$I$38&amp;"."&amp;$M$38</f>
        <v>.</v>
      </c>
      <c r="AP38" s="1266" t="str">
        <f>$I$38&amp;"."&amp;$M$38&amp;"."&amp;$Q$38</f>
        <v>..</v>
      </c>
      <c r="AQ38" s="1266" t="str">
        <f>$I$38&amp;"."&amp;$M$38&amp;"."&amp;$Q$38&amp;"."&amp;$U$38</f>
        <v>...</v>
      </c>
      <c r="AR38" s="1290">
        <v>0</v>
      </c>
    </row>
    <row s="1857" customFormat="1" customHeight="1" ht="17.25" hidden="1">
      <c r="A39" s="328"/>
      <c r="C39" s="327"/>
      <c r="D39" s="2155"/>
      <c r="E39" s="2163"/>
      <c r="F39" s="2166"/>
      <c r="G39" s="2163"/>
      <c r="H39" s="2169"/>
      <c r="I39" s="2171"/>
      <c r="J39" s="2173"/>
      <c r="K39" s="2158"/>
      <c r="L39" s="2158"/>
      <c r="M39" s="2158"/>
      <c r="N39" s="2160"/>
      <c r="O39" s="2158"/>
      <c r="P39" s="2158"/>
      <c r="Q39" s="2158"/>
      <c r="R39" s="2161"/>
      <c r="S39" s="2158"/>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57" customFormat="1" customHeight="1" ht="17.25" hidden="1">
      <c r="A40" s="328"/>
      <c r="C40" s="327"/>
      <c r="D40" s="2156"/>
      <c r="E40" s="2164"/>
      <c r="F40" s="2166"/>
      <c r="G40" s="2164"/>
      <c r="H40" s="2169"/>
      <c r="I40" s="2171"/>
      <c r="J40" s="2174"/>
      <c r="K40" s="2158"/>
      <c r="L40" s="2158"/>
      <c r="M40" s="2158"/>
      <c r="N40" s="2161"/>
      <c r="O40" s="2158"/>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57" customFormat="1" customHeight="1" ht="17.25" hidden="1">
      <c r="A41" s="328"/>
      <c r="C41" s="327"/>
      <c r="D41" s="2156"/>
      <c r="E41" s="2164"/>
      <c r="F41" s="2166"/>
      <c r="G41" s="2164"/>
      <c r="H41" s="2169"/>
      <c r="I41" s="2171"/>
      <c r="J41" s="2174"/>
      <c r="K41" s="2158"/>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57" customFormat="1" customHeight="1" ht="17.25" hidden="1">
      <c r="A42" s="328"/>
      <c r="C42" s="327"/>
      <c r="D42" s="2156"/>
      <c r="E42" s="2164"/>
      <c r="F42" s="2167"/>
      <c r="G42" s="2164"/>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57" customFormat="1" customHeight="1" ht="17.25" hidden="1">
      <c r="A43" s="328"/>
      <c r="C43" s="216"/>
      <c r="D43" s="2155">
        <v>6</v>
      </c>
      <c r="E43" s="2163" t="s">
        <v>185</v>
      </c>
      <c r="F43" s="2165" t="s">
        <v>19</v>
      </c>
      <c r="G43" s="2163"/>
      <c r="H43" s="2168"/>
      <c r="I43" s="2170"/>
      <c r="J43" s="2172"/>
      <c r="K43" s="2157"/>
      <c r="L43" s="2157"/>
      <c r="M43" s="2157"/>
      <c r="N43" s="2159"/>
      <c r="O43" s="2157"/>
      <c r="P43" s="2157"/>
      <c r="Q43" s="2157"/>
      <c r="R43" s="2162"/>
      <c r="S43" s="2157"/>
      <c r="T43" s="1427"/>
      <c r="U43" s="1427"/>
      <c r="V43" s="1426"/>
      <c r="W43" s="1303"/>
      <c r="X43" s="1274"/>
      <c r="Y43" s="1274"/>
      <c r="Z43" s="1274"/>
      <c r="AA43" s="1274"/>
      <c r="AB43" s="1274"/>
      <c r="AC43" s="1274" t="s">
        <v>186</v>
      </c>
      <c r="AD43" s="1274" t="s">
        <v>187</v>
      </c>
      <c r="AE43" s="1274" t="s">
        <v>188</v>
      </c>
      <c r="AF43" s="1274" t="s">
        <v>189</v>
      </c>
      <c r="AG43" s="1274" t="s">
        <v>190</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8">
        <f>$I$43</f>
        <v>0</v>
      </c>
      <c r="AO43" s="1274" t="str">
        <f>$I$43&amp;"."&amp;$M$43</f>
        <v>.</v>
      </c>
      <c r="AP43" s="1266" t="str">
        <f>$I$43&amp;"."&amp;$M$43&amp;"."&amp;$Q$43</f>
        <v>..</v>
      </c>
      <c r="AQ43" s="1266" t="str">
        <f>$I$43&amp;"."&amp;$M$43&amp;"."&amp;$Q$43&amp;"."&amp;$U$43</f>
        <v>...</v>
      </c>
      <c r="AR43" s="1290">
        <v>0</v>
      </c>
    </row>
    <row s="1857" customFormat="1" customHeight="1" ht="17.25" hidden="1">
      <c r="A44" s="328"/>
      <c r="C44" s="327"/>
      <c r="D44" s="2155"/>
      <c r="E44" s="2163"/>
      <c r="F44" s="2166"/>
      <c r="G44" s="2163"/>
      <c r="H44" s="2169"/>
      <c r="I44" s="2171"/>
      <c r="J44" s="2173"/>
      <c r="K44" s="2158"/>
      <c r="L44" s="2158"/>
      <c r="M44" s="2158"/>
      <c r="N44" s="2160"/>
      <c r="O44" s="2158"/>
      <c r="P44" s="2158"/>
      <c r="Q44" s="2158"/>
      <c r="R44" s="2161"/>
      <c r="S44" s="2158"/>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57" customFormat="1" customHeight="1" ht="17.25" hidden="1">
      <c r="A45" s="328"/>
      <c r="C45" s="327"/>
      <c r="D45" s="2156"/>
      <c r="E45" s="2164"/>
      <c r="F45" s="2166"/>
      <c r="G45" s="2164"/>
      <c r="H45" s="2169"/>
      <c r="I45" s="2171"/>
      <c r="J45" s="2174"/>
      <c r="K45" s="2158"/>
      <c r="L45" s="2158"/>
      <c r="M45" s="2158"/>
      <c r="N45" s="2161"/>
      <c r="O45" s="2158"/>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57" customFormat="1" customHeight="1" ht="17.25" hidden="1">
      <c r="A46" s="328"/>
      <c r="C46" s="216"/>
      <c r="D46" s="2156"/>
      <c r="E46" s="2164"/>
      <c r="F46" s="2166"/>
      <c r="G46" s="2164"/>
      <c r="H46" s="2169"/>
      <c r="I46" s="2171"/>
      <c r="J46" s="2174"/>
      <c r="K46" s="2158"/>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57" customFormat="1" customHeight="1" ht="17.25" hidden="1">
      <c r="A47" s="328"/>
      <c r="C47" s="327"/>
      <c r="D47" s="2156"/>
      <c r="E47" s="2164"/>
      <c r="F47" s="2167"/>
      <c r="G47" s="2164"/>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57" customFormat="1" customHeight="1" ht="17.25" hidden="1">
      <c r="A48" s="328"/>
      <c r="C48" s="216"/>
      <c r="D48" s="2186">
        <v>7</v>
      </c>
      <c r="E48" s="2189" t="s">
        <v>191</v>
      </c>
      <c r="F48" s="2165" t="s">
        <v>19</v>
      </c>
      <c r="G48" s="2189"/>
      <c r="H48" s="2168"/>
      <c r="I48" s="2170"/>
      <c r="J48" s="2172"/>
      <c r="K48" s="2157"/>
      <c r="L48" s="2157"/>
      <c r="M48" s="2157"/>
      <c r="N48" s="2159"/>
      <c r="O48" s="2157"/>
      <c r="P48" s="2157"/>
      <c r="Q48" s="2157"/>
      <c r="R48" s="2162"/>
      <c r="S48" s="2157"/>
      <c r="T48" s="1427"/>
      <c r="U48" s="1427"/>
      <c r="V48" s="1426"/>
      <c r="W48" s="1303"/>
      <c r="X48" s="1274"/>
      <c r="Y48" s="1274"/>
      <c r="Z48" s="1274"/>
      <c r="AA48" s="1274"/>
      <c r="AB48" s="1274"/>
      <c r="AC48" s="1274" t="s">
        <v>192</v>
      </c>
      <c r="AD48" s="1274" t="s">
        <v>193</v>
      </c>
      <c r="AE48" s="1274" t="s">
        <v>194</v>
      </c>
      <c r="AF48" s="1274" t="s">
        <v>195</v>
      </c>
      <c r="AG48" s="1274" t="s">
        <v>196</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8">
        <f>$I$48</f>
        <v>0</v>
      </c>
      <c r="AO48" s="1274" t="str">
        <f>$I$48&amp;"."&amp;$M$48</f>
        <v>.</v>
      </c>
      <c r="AP48" s="1266" t="str">
        <f>$I$48&amp;"."&amp;$M$48&amp;"."&amp;$Q$48</f>
        <v>..</v>
      </c>
      <c r="AQ48" s="1266" t="str">
        <f>$I$48&amp;"."&amp;$M$48&amp;"."&amp;$Q$48&amp;"."&amp;$U$48</f>
        <v>...</v>
      </c>
      <c r="AR48" s="1315">
        <v>0</v>
      </c>
    </row>
    <row s="1857" customFormat="1" customHeight="1" ht="17.25" hidden="1">
      <c r="A49" s="328"/>
      <c r="C49" s="327"/>
      <c r="D49" s="2187"/>
      <c r="E49" s="2190"/>
      <c r="F49" s="2166"/>
      <c r="G49" s="2190"/>
      <c r="H49" s="2169"/>
      <c r="I49" s="2171"/>
      <c r="J49" s="2173"/>
      <c r="K49" s="2158"/>
      <c r="L49" s="2158"/>
      <c r="M49" s="2158"/>
      <c r="N49" s="2160"/>
      <c r="O49" s="2158"/>
      <c r="P49" s="2158"/>
      <c r="Q49" s="2158"/>
      <c r="R49" s="2161"/>
      <c r="S49" s="2158"/>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57" customFormat="1" customHeight="1" ht="17.25" hidden="1">
      <c r="A50" s="328"/>
      <c r="C50" s="327"/>
      <c r="D50" s="2187"/>
      <c r="E50" s="2190"/>
      <c r="F50" s="2166"/>
      <c r="G50" s="2190"/>
      <c r="H50" s="2169"/>
      <c r="I50" s="2171"/>
      <c r="J50" s="2174"/>
      <c r="K50" s="2158"/>
      <c r="L50" s="2158"/>
      <c r="M50" s="2158"/>
      <c r="N50" s="2161"/>
      <c r="O50" s="2158"/>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57" customFormat="1" customHeight="1" ht="17.25" hidden="1">
      <c r="A51" s="328"/>
      <c r="C51" s="216"/>
      <c r="D51" s="2187"/>
      <c r="E51" s="2190"/>
      <c r="F51" s="2166"/>
      <c r="G51" s="2190"/>
      <c r="H51" s="2169"/>
      <c r="I51" s="2171"/>
      <c r="J51" s="2174"/>
      <c r="K51" s="2158"/>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57" customFormat="1" customHeight="1" ht="17.25" hidden="1">
      <c r="A52" s="328"/>
      <c r="C52" s="327"/>
      <c r="D52" s="2188"/>
      <c r="E52" s="2191"/>
      <c r="F52" s="2167"/>
      <c r="G52" s="2191"/>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57" customFormat="1" customHeight="1" ht="17.25" hidden="1">
      <c r="A53" s="328"/>
      <c r="C53" s="216"/>
      <c r="D53" s="2155">
        <v>8</v>
      </c>
      <c r="E53" s="2163" t="s">
        <v>197</v>
      </c>
      <c r="F53" s="2165" t="s">
        <v>19</v>
      </c>
      <c r="G53" s="2163"/>
      <c r="H53" s="2168"/>
      <c r="I53" s="2170"/>
      <c r="J53" s="2172"/>
      <c r="K53" s="2157"/>
      <c r="L53" s="2157"/>
      <c r="M53" s="2157"/>
      <c r="N53" s="2159"/>
      <c r="O53" s="2157"/>
      <c r="P53" s="2157"/>
      <c r="Q53" s="2157"/>
      <c r="R53" s="2162"/>
      <c r="S53" s="2157"/>
      <c r="T53" s="1477"/>
      <c r="U53" s="1477"/>
      <c r="V53" s="1479"/>
      <c r="W53" s="1303"/>
      <c r="X53" s="1274"/>
      <c r="Y53" s="1274"/>
      <c r="Z53" s="1274"/>
      <c r="AA53" s="1274"/>
      <c r="AB53" s="1274"/>
      <c r="AC53" s="1274" t="s">
        <v>198</v>
      </c>
      <c r="AD53" s="1274" t="s">
        <v>199</v>
      </c>
      <c r="AE53" s="1274" t="s">
        <v>200</v>
      </c>
      <c r="AF53" s="1274" t="s">
        <v>201</v>
      </c>
      <c r="AG53" s="1274" t="s">
        <v>202</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8">
        <f>$I$53</f>
        <v>0</v>
      </c>
      <c r="AO53" s="1274" t="str">
        <f>$I$53&amp;"."&amp;$M$53</f>
        <v>.</v>
      </c>
      <c r="AP53" s="1266" t="str">
        <f>$I$53&amp;"."&amp;$M$53&amp;"."&amp;$Q$53</f>
        <v>..</v>
      </c>
      <c r="AQ53" s="1266" t="str">
        <f>$I$53&amp;"."&amp;$M$53&amp;"."&amp;$Q$53&amp;"."&amp;$U$53</f>
        <v>...</v>
      </c>
      <c r="AR53" s="1315">
        <v>0</v>
      </c>
    </row>
    <row s="1857" customFormat="1" customHeight="1" ht="17.25" hidden="1">
      <c r="A54" s="328"/>
      <c r="C54" s="327"/>
      <c r="D54" s="2155"/>
      <c r="E54" s="2163"/>
      <c r="F54" s="2166"/>
      <c r="G54" s="2163"/>
      <c r="H54" s="2169"/>
      <c r="I54" s="2171"/>
      <c r="J54" s="2173"/>
      <c r="K54" s="2158"/>
      <c r="L54" s="2158"/>
      <c r="M54" s="2158"/>
      <c r="N54" s="2160"/>
      <c r="O54" s="2158"/>
      <c r="P54" s="2158"/>
      <c r="Q54" s="2158"/>
      <c r="R54" s="2161"/>
      <c r="S54" s="2158"/>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57" customFormat="1" customHeight="1" ht="17.25" hidden="1">
      <c r="A55" s="328"/>
      <c r="C55" s="327"/>
      <c r="D55" s="2156"/>
      <c r="E55" s="2164"/>
      <c r="F55" s="2166"/>
      <c r="G55" s="2164"/>
      <c r="H55" s="2169"/>
      <c r="I55" s="2171"/>
      <c r="J55" s="2174"/>
      <c r="K55" s="2158"/>
      <c r="L55" s="2158"/>
      <c r="M55" s="2158"/>
      <c r="N55" s="2161"/>
      <c r="O55" s="2158"/>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57" customFormat="1" customHeight="1" ht="17.25" hidden="1">
      <c r="A56" s="328"/>
      <c r="C56" s="216"/>
      <c r="D56" s="2156"/>
      <c r="E56" s="2164"/>
      <c r="F56" s="2166"/>
      <c r="G56" s="2164"/>
      <c r="H56" s="2169"/>
      <c r="I56" s="2171"/>
      <c r="J56" s="2174"/>
      <c r="K56" s="2158"/>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57" customFormat="1" customHeight="1" ht="17.25" hidden="1">
      <c r="A57" s="328"/>
      <c r="C57" s="327"/>
      <c r="D57" s="2156"/>
      <c r="E57" s="2164"/>
      <c r="F57" s="2167"/>
      <c r="G57" s="2164"/>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57" customFormat="1" customHeight="1" ht="17.25" hidden="1">
      <c r="A58" s="328"/>
      <c r="C58" s="216"/>
      <c r="D58" s="2155">
        <v>9</v>
      </c>
      <c r="E58" s="2163" t="s">
        <v>203</v>
      </c>
      <c r="F58" s="2165" t="s">
        <v>19</v>
      </c>
      <c r="G58" s="2163"/>
      <c r="H58" s="2168"/>
      <c r="I58" s="2170"/>
      <c r="J58" s="2172"/>
      <c r="K58" s="2157"/>
      <c r="L58" s="2157"/>
      <c r="M58" s="2157"/>
      <c r="N58" s="2159"/>
      <c r="O58" s="2157"/>
      <c r="P58" s="2157"/>
      <c r="Q58" s="2157"/>
      <c r="R58" s="2162"/>
      <c r="S58" s="2157"/>
      <c r="T58" s="1935"/>
      <c r="U58" s="1935"/>
      <c r="V58" s="1937"/>
      <c r="W58" s="1303"/>
      <c r="X58" s="1274"/>
      <c r="Y58" s="1274"/>
      <c r="Z58" s="1274"/>
      <c r="AA58" s="1274"/>
      <c r="AB58" s="1274"/>
      <c r="AC58" s="1274" t="s">
        <v>204</v>
      </c>
      <c r="AD58" s="1274" t="s">
        <v>205</v>
      </c>
      <c r="AE58" s="1274" t="s">
        <v>206</v>
      </c>
      <c r="AF58" s="1274" t="s">
        <v>207</v>
      </c>
      <c r="AG58" s="1274" t="s">
        <v>208</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8">
        <f>$I$58</f>
        <v>0</v>
      </c>
      <c r="AO58" s="1274" t="str">
        <f>$I$58&amp;"."&amp;$M$58</f>
        <v>.</v>
      </c>
      <c r="AP58" s="1273" t="str">
        <f>$I$58&amp;"."&amp;$M$58&amp;"."&amp;$Q$58</f>
        <v>..</v>
      </c>
      <c r="AQ58" s="1273" t="str">
        <f>$I$58&amp;"."&amp;$M$58&amp;"."&amp;$Q$58&amp;"."&amp;$U$58</f>
        <v>...</v>
      </c>
      <c r="AR58" s="1474">
        <v>0</v>
      </c>
    </row>
    <row s="1857" customFormat="1" customHeight="1" ht="17.25" hidden="1">
      <c r="A59" s="328"/>
      <c r="C59" s="327"/>
      <c r="D59" s="2155"/>
      <c r="E59" s="2163"/>
      <c r="F59" s="2166"/>
      <c r="G59" s="2163"/>
      <c r="H59" s="2169"/>
      <c r="I59" s="2171"/>
      <c r="J59" s="2173"/>
      <c r="K59" s="2158"/>
      <c r="L59" s="2158"/>
      <c r="M59" s="2158"/>
      <c r="N59" s="2160"/>
      <c r="O59" s="2158"/>
      <c r="P59" s="2158"/>
      <c r="Q59" s="2158"/>
      <c r="R59" s="2161"/>
      <c r="S59" s="2158"/>
      <c r="T59" s="1938"/>
      <c r="U59" s="1938"/>
      <c r="V59" s="1938"/>
      <c r="W59" s="1939"/>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57" customFormat="1" customHeight="1" ht="17.25" hidden="1">
      <c r="A60" s="328"/>
      <c r="C60" s="327"/>
      <c r="D60" s="2156"/>
      <c r="E60" s="2164"/>
      <c r="F60" s="2166"/>
      <c r="G60" s="2164"/>
      <c r="H60" s="2169"/>
      <c r="I60" s="2171"/>
      <c r="J60" s="2174"/>
      <c r="K60" s="2158"/>
      <c r="L60" s="2158"/>
      <c r="M60" s="2158"/>
      <c r="N60" s="2161"/>
      <c r="O60" s="2158"/>
      <c r="P60" s="1936"/>
      <c r="Q60" s="1938"/>
      <c r="R60" s="1938"/>
      <c r="S60" s="336"/>
      <c r="T60" s="336"/>
      <c r="U60" s="336"/>
      <c r="V60" s="336"/>
      <c r="W60" s="1939"/>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57" customFormat="1" customHeight="1" ht="17.25" hidden="1">
      <c r="A61" s="328"/>
      <c r="C61" s="216"/>
      <c r="D61" s="2156"/>
      <c r="E61" s="2164"/>
      <c r="F61" s="2166"/>
      <c r="G61" s="2164"/>
      <c r="H61" s="2169"/>
      <c r="I61" s="2171"/>
      <c r="J61" s="2174"/>
      <c r="K61" s="2158"/>
      <c r="L61" s="1938"/>
      <c r="M61" s="1938"/>
      <c r="N61" s="1938"/>
      <c r="O61" s="1938"/>
      <c r="P61" s="1938"/>
      <c r="Q61" s="1938"/>
      <c r="R61" s="1938"/>
      <c r="S61" s="336"/>
      <c r="T61" s="336"/>
      <c r="U61" s="336"/>
      <c r="V61" s="336"/>
      <c r="W61" s="1939"/>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57" customFormat="1" customHeight="1" ht="17.25" hidden="1">
      <c r="A62" s="328"/>
      <c r="C62" s="327"/>
      <c r="D62" s="2156"/>
      <c r="E62" s="2164"/>
      <c r="F62" s="2167"/>
      <c r="G62" s="2164"/>
      <c r="H62" s="1306"/>
      <c r="I62" s="1940"/>
      <c r="J62" s="1940"/>
      <c r="K62" s="1940"/>
      <c r="L62" s="1940"/>
      <c r="M62" s="1940"/>
      <c r="N62" s="1940"/>
      <c r="O62" s="1940"/>
      <c r="P62" s="1940"/>
      <c r="Q62" s="1940"/>
      <c r="R62" s="1940"/>
      <c r="S62" s="1308"/>
      <c r="T62" s="1308"/>
      <c r="U62" s="1308"/>
      <c r="V62" s="1308"/>
      <c r="W62" s="1941"/>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57" customFormat="1" customHeight="1" ht="17.25" hidden="1">
      <c r="A63" s="328"/>
      <c r="C63" s="216"/>
      <c r="D63" s="2155">
        <v>10</v>
      </c>
      <c r="E63" s="2163" t="s">
        <v>209</v>
      </c>
      <c r="F63" s="2165" t="s">
        <v>19</v>
      </c>
      <c r="G63" s="2163"/>
      <c r="H63" s="2168"/>
      <c r="I63" s="2170"/>
      <c r="J63" s="2172"/>
      <c r="K63" s="2157"/>
      <c r="L63" s="2157"/>
      <c r="M63" s="2157"/>
      <c r="N63" s="2159"/>
      <c r="O63" s="2157"/>
      <c r="P63" s="2157"/>
      <c r="Q63" s="2157"/>
      <c r="R63" s="2162"/>
      <c r="S63" s="2157"/>
      <c r="T63" s="1935"/>
      <c r="U63" s="1935"/>
      <c r="V63" s="1937"/>
      <c r="W63" s="1303"/>
      <c r="X63" s="1274"/>
      <c r="Y63" s="1274"/>
      <c r="Z63" s="1274"/>
      <c r="AA63" s="1274"/>
      <c r="AB63" s="1274"/>
      <c r="AC63" s="1274" t="s">
        <v>210</v>
      </c>
      <c r="AD63" s="1274" t="s">
        <v>211</v>
      </c>
      <c r="AE63" s="1274" t="s">
        <v>212</v>
      </c>
      <c r="AF63" s="1274" t="s">
        <v>213</v>
      </c>
      <c r="AG63" s="1274" t="s">
        <v>214</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8">
        <f>$I$63</f>
        <v>0</v>
      </c>
      <c r="AO63" s="1274" t="str">
        <f>$I$63&amp;"."&amp;$M$63</f>
        <v>.</v>
      </c>
      <c r="AP63" s="1273" t="str">
        <f>$I$63&amp;"."&amp;$M$63&amp;"."&amp;$Q$63</f>
        <v>..</v>
      </c>
      <c r="AQ63" s="1273" t="str">
        <f>$I$63&amp;"."&amp;$M$63&amp;"."&amp;$Q$63&amp;"."&amp;$U$63</f>
        <v>...</v>
      </c>
      <c r="AR63" s="1474">
        <v>0</v>
      </c>
    </row>
    <row s="1857" customFormat="1" customHeight="1" ht="17.25" hidden="1">
      <c r="A64" s="328"/>
      <c r="C64" s="327"/>
      <c r="D64" s="2155"/>
      <c r="E64" s="2163"/>
      <c r="F64" s="2166"/>
      <c r="G64" s="2163"/>
      <c r="H64" s="2169"/>
      <c r="I64" s="2171"/>
      <c r="J64" s="2173"/>
      <c r="K64" s="2158"/>
      <c r="L64" s="2158"/>
      <c r="M64" s="2158"/>
      <c r="N64" s="2160"/>
      <c r="O64" s="2158"/>
      <c r="P64" s="2158"/>
      <c r="Q64" s="2158"/>
      <c r="R64" s="2161"/>
      <c r="S64" s="2158"/>
      <c r="T64" s="1938"/>
      <c r="U64" s="1938"/>
      <c r="V64" s="1938"/>
      <c r="W64" s="1939"/>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57" customFormat="1" customHeight="1" ht="17.25" hidden="1">
      <c r="A65" s="328"/>
      <c r="C65" s="327"/>
      <c r="D65" s="2156"/>
      <c r="E65" s="2164"/>
      <c r="F65" s="2166"/>
      <c r="G65" s="2164"/>
      <c r="H65" s="2169"/>
      <c r="I65" s="2171"/>
      <c r="J65" s="2174"/>
      <c r="K65" s="2158"/>
      <c r="L65" s="2158"/>
      <c r="M65" s="2158"/>
      <c r="N65" s="2161"/>
      <c r="O65" s="2158"/>
      <c r="P65" s="1936"/>
      <c r="Q65" s="1938"/>
      <c r="R65" s="1938"/>
      <c r="S65" s="336"/>
      <c r="T65" s="336"/>
      <c r="U65" s="336"/>
      <c r="V65" s="336"/>
      <c r="W65" s="1939"/>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57" customFormat="1" customHeight="1" ht="17.25" hidden="1">
      <c r="A66" s="328"/>
      <c r="C66" s="216"/>
      <c r="D66" s="2156"/>
      <c r="E66" s="2164"/>
      <c r="F66" s="2166"/>
      <c r="G66" s="2164"/>
      <c r="H66" s="2169"/>
      <c r="I66" s="2171"/>
      <c r="J66" s="2174"/>
      <c r="K66" s="2158"/>
      <c r="L66" s="1938"/>
      <c r="M66" s="1938"/>
      <c r="N66" s="1938"/>
      <c r="O66" s="1938"/>
      <c r="P66" s="1938"/>
      <c r="Q66" s="1938"/>
      <c r="R66" s="1938"/>
      <c r="S66" s="336"/>
      <c r="T66" s="336"/>
      <c r="U66" s="336"/>
      <c r="V66" s="336"/>
      <c r="W66" s="1939"/>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57" customFormat="1" customHeight="1" ht="17.25" hidden="1">
      <c r="A67" s="328"/>
      <c r="C67" s="327"/>
      <c r="D67" s="2156"/>
      <c r="E67" s="2164"/>
      <c r="F67" s="2167"/>
      <c r="G67" s="2164"/>
      <c r="H67" s="1306"/>
      <c r="I67" s="1940"/>
      <c r="J67" s="1940"/>
      <c r="K67" s="1940"/>
      <c r="L67" s="1940"/>
      <c r="M67" s="1940"/>
      <c r="N67" s="1940"/>
      <c r="O67" s="1940"/>
      <c r="P67" s="1940"/>
      <c r="Q67" s="1940"/>
      <c r="R67" s="1940"/>
      <c r="S67" s="1308"/>
      <c r="T67" s="1308"/>
      <c r="U67" s="1308"/>
      <c r="V67" s="1308"/>
      <c r="W67" s="1941"/>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hidden="1">
      <c r="AR68" s="111">
        <v>0</v>
      </c>
    </row>
    <row customHeight="1" ht="11.25" hidden="1">
      <c r="E69" s="2194" t="s">
        <v>215</v>
      </c>
      <c r="F69" s="2194"/>
      <c r="G69" s="2194"/>
      <c r="H69" s="2194"/>
      <c r="I69" s="2194"/>
      <c r="J69" s="2194"/>
      <c r="K69" s="2194"/>
      <c r="L69" s="2194"/>
      <c r="M69" s="2194"/>
      <c r="N69" s="2194"/>
      <c r="O69" s="2194"/>
      <c r="P69" s="2194"/>
      <c r="Q69" s="2194"/>
      <c r="R69" s="2194"/>
      <c r="S69" s="2194"/>
      <c r="T69" s="2194"/>
      <c r="U69" s="2194"/>
      <c r="V69" s="2194"/>
      <c r="W69" s="2194"/>
      <c r="AR69" s="111">
        <v>0</v>
      </c>
    </row>
    <row customHeight="1" ht="36.75" hidden="1">
      <c r="E70" s="2192" t="s">
        <v>216</v>
      </c>
      <c r="F70" s="2192"/>
      <c r="G70" s="2193"/>
      <c r="H70" s="2193"/>
      <c r="I70" s="2193"/>
      <c r="J70" s="2193"/>
      <c r="K70" s="2193"/>
      <c r="L70" s="2193"/>
      <c r="M70" s="2193"/>
      <c r="N70" s="2193"/>
      <c r="O70" s="2193"/>
      <c r="P70" s="2193"/>
      <c r="Q70" s="2193"/>
      <c r="R70" s="2193"/>
      <c r="S70" s="2193"/>
      <c r="T70" s="2193"/>
      <c r="U70" s="2193"/>
      <c r="V70" s="2193"/>
      <c r="W70" s="2193"/>
      <c r="AR70" s="111">
        <v>0</v>
      </c>
    </row>
    <row customHeight="1" ht="28.5" hidden="1">
      <c r="E71" s="2192" t="s">
        <v>217</v>
      </c>
      <c r="F71" s="2192"/>
      <c r="G71" s="2193"/>
      <c r="H71" s="2193"/>
      <c r="I71" s="2193"/>
      <c r="J71" s="2193"/>
      <c r="K71" s="2193"/>
      <c r="L71" s="2193"/>
      <c r="M71" s="2193"/>
      <c r="N71" s="2193"/>
      <c r="O71" s="2193"/>
      <c r="P71" s="2193"/>
      <c r="Q71" s="2193"/>
      <c r="R71" s="2193"/>
      <c r="S71" s="2193"/>
      <c r="T71" s="2193"/>
      <c r="U71" s="2193"/>
      <c r="V71" s="2193"/>
      <c r="W71" s="2193"/>
      <c r="AR71" s="111">
        <v>0</v>
      </c>
    </row>
    <row customHeight="1" ht="27" hidden="1">
      <c r="E72" s="2192" t="s">
        <v>218</v>
      </c>
      <c r="F72" s="2192"/>
      <c r="G72" s="2193"/>
      <c r="H72" s="2193"/>
      <c r="I72" s="2193"/>
      <c r="J72" s="2193"/>
      <c r="K72" s="2193"/>
      <c r="L72" s="2193"/>
      <c r="M72" s="2193"/>
      <c r="N72" s="2193"/>
      <c r="O72" s="2193"/>
      <c r="P72" s="2193"/>
      <c r="Q72" s="2193"/>
      <c r="R72" s="2193"/>
      <c r="S72" s="2193"/>
      <c r="T72" s="2193"/>
      <c r="U72" s="2193"/>
      <c r="V72" s="2193"/>
      <c r="W72" s="2193"/>
      <c r="AR72" s="111">
        <v>0</v>
      </c>
    </row>
    <row customHeight="1" ht="17.25" hidden="1">
      <c r="E73" s="2192" t="s">
        <v>219</v>
      </c>
      <c r="F73" s="2192"/>
      <c r="G73" s="2193"/>
      <c r="H73" s="2193"/>
      <c r="I73" s="2193"/>
      <c r="J73" s="2193"/>
      <c r="K73" s="2193"/>
      <c r="L73" s="2193"/>
      <c r="M73" s="2193"/>
      <c r="N73" s="2193"/>
      <c r="O73" s="2193"/>
      <c r="P73" s="2193"/>
      <c r="Q73" s="2193"/>
      <c r="R73" s="2193"/>
      <c r="S73" s="2193"/>
      <c r="T73" s="2193"/>
      <c r="U73" s="2193"/>
      <c r="V73" s="2193"/>
      <c r="W73" s="2193"/>
      <c r="AR73" s="111">
        <v>0</v>
      </c>
    </row>
    <row customHeight="1" ht="15" hidden="1">
      <c r="E74" s="347"/>
      <c r="F74" s="1292"/>
      <c r="G74" s="164"/>
      <c r="H74" s="164"/>
      <c r="I74" s="164"/>
      <c r="J74" s="164"/>
      <c r="K74" s="164"/>
      <c r="L74" s="164"/>
      <c r="M74" s="164"/>
      <c r="N74" s="164"/>
      <c r="O74" s="164"/>
      <c r="P74" s="164"/>
      <c r="Q74" s="164"/>
      <c r="R74" s="164"/>
      <c r="S74" s="164"/>
      <c r="T74" s="164"/>
      <c r="U74" s="164"/>
      <c r="V74" s="164"/>
      <c r="W74" s="164"/>
      <c r="AR74" s="111">
        <v>0</v>
      </c>
    </row>
    <row customHeight="1" ht="15" hidden="1">
      <c r="E75" s="2194" t="s">
        <v>220</v>
      </c>
      <c r="F75" s="2194"/>
      <c r="G75" s="2194"/>
      <c r="H75" s="2194"/>
      <c r="I75" s="2194"/>
      <c r="J75" s="2194"/>
      <c r="K75" s="2194"/>
      <c r="L75" s="2194"/>
      <c r="M75" s="2194"/>
      <c r="N75" s="2194"/>
      <c r="O75" s="2194"/>
      <c r="P75" s="2194"/>
      <c r="Q75" s="2194"/>
      <c r="R75" s="2194"/>
      <c r="S75" s="2194"/>
      <c r="T75" s="2194"/>
      <c r="U75" s="2194"/>
      <c r="V75" s="2194"/>
      <c r="W75" s="2194"/>
      <c r="AR75" s="111">
        <v>0</v>
      </c>
    </row>
    <row customHeight="1" ht="17.25" hidden="1">
      <c r="E76" s="2192" t="s">
        <v>221</v>
      </c>
      <c r="F76" s="2192"/>
      <c r="G76" s="2193"/>
      <c r="H76" s="2193"/>
      <c r="I76" s="2193"/>
      <c r="J76" s="2193"/>
      <c r="K76" s="2193"/>
      <c r="L76" s="2193"/>
      <c r="M76" s="2193"/>
      <c r="N76" s="2193"/>
      <c r="O76" s="2193"/>
      <c r="P76" s="2193"/>
      <c r="Q76" s="2193"/>
      <c r="R76" s="2193"/>
      <c r="S76" s="2193"/>
      <c r="T76" s="2193"/>
      <c r="U76" s="2193"/>
      <c r="V76" s="2193"/>
      <c r="W76" s="2193"/>
      <c r="AR76" s="111">
        <v>0</v>
      </c>
    </row>
    <row customHeight="1" ht="17.25" hidden="1">
      <c r="E77" s="2192" t="s">
        <v>222</v>
      </c>
      <c r="F77" s="2192"/>
      <c r="G77" s="2193"/>
      <c r="H77" s="2193"/>
      <c r="I77" s="2193"/>
      <c r="J77" s="2193"/>
      <c r="K77" s="2193"/>
      <c r="L77" s="2193"/>
      <c r="M77" s="2193"/>
      <c r="N77" s="2193"/>
      <c r="O77" s="2193"/>
      <c r="P77" s="2193"/>
      <c r="Q77" s="2193"/>
      <c r="R77" s="2193"/>
      <c r="S77" s="2193"/>
      <c r="T77" s="2193"/>
      <c r="U77" s="2193"/>
      <c r="V77" s="2193"/>
      <c r="W77" s="2193"/>
      <c r="AR77" s="111">
        <v>0</v>
      </c>
    </row>
    <row s="1857"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57" customFormat="1" customHeight="1" ht="17.25" hidden="1">
      <c r="A79" s="328"/>
      <c r="C79" s="216"/>
      <c r="D79" s="2155">
        <v>1</v>
      </c>
      <c r="E79" s="2163" t="s">
        <v>223</v>
      </c>
      <c r="F79" s="2165" t="s">
        <v>19</v>
      </c>
      <c r="G79" s="2163"/>
      <c r="H79" s="2168"/>
      <c r="I79" s="2170"/>
      <c r="J79" s="2172"/>
      <c r="K79" s="2157"/>
      <c r="L79" s="2157"/>
      <c r="M79" s="2157"/>
      <c r="N79" s="2159"/>
      <c r="O79" s="2157"/>
      <c r="P79" s="2157"/>
      <c r="Q79" s="2157"/>
      <c r="R79" s="2162"/>
      <c r="S79" s="2157"/>
      <c r="T79" s="1477"/>
      <c r="U79" s="1477"/>
      <c r="V79" s="1479"/>
      <c r="W79" s="1303"/>
      <c r="Y79" s="1274"/>
      <c r="Z79" s="1274"/>
      <c r="AA79" s="1274"/>
      <c r="AB79" s="1274"/>
      <c r="AC79" s="1274" t="s">
        <v>224</v>
      </c>
      <c r="AD79" s="1274" t="s">
        <v>225</v>
      </c>
      <c r="AE79" s="1274" t="s">
        <v>226</v>
      </c>
      <c r="AF79" s="1274" t="s">
        <v>227</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57" customFormat="1" customHeight="1" ht="17.25" hidden="1">
      <c r="A80" s="328"/>
      <c r="C80" s="327"/>
      <c r="D80" s="2155"/>
      <c r="E80" s="2163"/>
      <c r="F80" s="2166"/>
      <c r="G80" s="2163"/>
      <c r="H80" s="2169"/>
      <c r="I80" s="2171"/>
      <c r="J80" s="2173"/>
      <c r="K80" s="2158"/>
      <c r="L80" s="2158"/>
      <c r="M80" s="2158"/>
      <c r="N80" s="2160"/>
      <c r="O80" s="2158"/>
      <c r="P80" s="2158"/>
      <c r="Q80" s="2158"/>
      <c r="R80" s="2161"/>
      <c r="S80" s="2158"/>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57" customFormat="1" customHeight="1" ht="17.25" hidden="1">
      <c r="A81" s="328"/>
      <c r="C81" s="216"/>
      <c r="D81" s="2155"/>
      <c r="E81" s="2163"/>
      <c r="F81" s="2166"/>
      <c r="G81" s="2163"/>
      <c r="H81" s="2169"/>
      <c r="I81" s="2171"/>
      <c r="J81" s="2174"/>
      <c r="K81" s="2158"/>
      <c r="L81" s="2158"/>
      <c r="M81" s="2158"/>
      <c r="N81" s="2161"/>
      <c r="O81" s="2158"/>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57" customFormat="1" customHeight="1" ht="17.25" hidden="1">
      <c r="A82" s="328"/>
      <c r="C82" s="327"/>
      <c r="D82" s="2155"/>
      <c r="E82" s="2163"/>
      <c r="F82" s="2166"/>
      <c r="G82" s="2163"/>
      <c r="H82" s="2169"/>
      <c r="I82" s="2171"/>
      <c r="J82" s="2174"/>
      <c r="K82" s="2158"/>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57" customFormat="1" customHeight="1" ht="17.25" hidden="1">
      <c r="A83" s="328"/>
      <c r="C83" s="327"/>
      <c r="D83" s="2156"/>
      <c r="E83" s="2164"/>
      <c r="F83" s="2167"/>
      <c r="G83" s="2164"/>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57" customFormat="1" customHeight="1" ht="17.25" hidden="1">
      <c r="A84" s="328"/>
      <c r="C84" s="216"/>
      <c r="D84" s="2155">
        <v>2</v>
      </c>
      <c r="E84" s="2163" t="s">
        <v>228</v>
      </c>
      <c r="F84" s="2165" t="s">
        <v>19</v>
      </c>
      <c r="G84" s="2163"/>
      <c r="H84" s="2168"/>
      <c r="I84" s="2170"/>
      <c r="J84" s="2172"/>
      <c r="K84" s="2157"/>
      <c r="L84" s="2157"/>
      <c r="M84" s="2157"/>
      <c r="N84" s="2159"/>
      <c r="O84" s="2157"/>
      <c r="P84" s="2157"/>
      <c r="Q84" s="2157"/>
      <c r="R84" s="2162"/>
      <c r="S84" s="2157"/>
      <c r="T84" s="1450"/>
      <c r="U84" s="1450"/>
      <c r="V84" s="1452"/>
      <c r="W84" s="1303"/>
      <c r="X84" s="1274"/>
      <c r="Y84" s="1274"/>
      <c r="Z84" s="1274"/>
      <c r="AA84" s="1274"/>
      <c r="AB84" s="1274"/>
      <c r="AC84" s="1274" t="s">
        <v>229</v>
      </c>
      <c r="AD84" s="1274" t="s">
        <v>230</v>
      </c>
      <c r="AE84" s="1274" t="s">
        <v>231</v>
      </c>
      <c r="AF84" s="1274" t="s">
        <v>232</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8">
        <f>$I$84</f>
        <v>0</v>
      </c>
      <c r="AO84" s="1274" t="str">
        <f>$I$84&amp;"."&amp;$M$84</f>
        <v>.</v>
      </c>
      <c r="AP84" s="1266" t="str">
        <f>$I$84&amp;"."&amp;$M$84&amp;"."&amp;$Q$84</f>
        <v>..</v>
      </c>
      <c r="AQ84" s="1266" t="str">
        <f>$I$84&amp;"."&amp;$M$84&amp;"."&amp;$Q$84&amp;"."&amp;$U$84</f>
        <v>...</v>
      </c>
      <c r="AR84" s="1357">
        <v>0</v>
      </c>
    </row>
    <row s="1857" customFormat="1" customHeight="1" ht="17.25" hidden="1">
      <c r="A85" s="328"/>
      <c r="C85" s="327"/>
      <c r="D85" s="2155"/>
      <c r="E85" s="2163"/>
      <c r="F85" s="2166"/>
      <c r="G85" s="2163"/>
      <c r="H85" s="2169"/>
      <c r="I85" s="2171"/>
      <c r="J85" s="2173"/>
      <c r="K85" s="2158"/>
      <c r="L85" s="2158"/>
      <c r="M85" s="2158"/>
      <c r="N85" s="2160"/>
      <c r="O85" s="2158"/>
      <c r="P85" s="2158"/>
      <c r="Q85" s="2158"/>
      <c r="R85" s="2161"/>
      <c r="S85" s="2158"/>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57" customFormat="1" customHeight="1" ht="17.25" hidden="1">
      <c r="A86" s="328"/>
      <c r="C86" s="327"/>
      <c r="D86" s="2156"/>
      <c r="E86" s="2164"/>
      <c r="F86" s="2166"/>
      <c r="G86" s="2164"/>
      <c r="H86" s="2169"/>
      <c r="I86" s="2171"/>
      <c r="J86" s="2174"/>
      <c r="K86" s="2158"/>
      <c r="L86" s="2158"/>
      <c r="M86" s="2158"/>
      <c r="N86" s="2161"/>
      <c r="O86" s="2158"/>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57" customFormat="1" customHeight="1" ht="17.25" hidden="1">
      <c r="A87" s="328"/>
      <c r="C87" s="327"/>
      <c r="D87" s="2156"/>
      <c r="E87" s="2164"/>
      <c r="F87" s="2166"/>
      <c r="G87" s="2164"/>
      <c r="H87" s="2169"/>
      <c r="I87" s="2171"/>
      <c r="J87" s="2174"/>
      <c r="K87" s="2158"/>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57" customFormat="1" customHeight="1" ht="17.25" hidden="1">
      <c r="A88" s="328"/>
      <c r="C88" s="327"/>
      <c r="D88" s="2156"/>
      <c r="E88" s="2164"/>
      <c r="F88" s="2167"/>
      <c r="G88" s="2164"/>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57" customFormat="1" customHeight="1" ht="17.25" hidden="1">
      <c r="A89" s="328"/>
      <c r="C89" s="216"/>
      <c r="D89" s="2155">
        <v>3</v>
      </c>
      <c r="E89" s="2163" t="s">
        <v>233</v>
      </c>
      <c r="F89" s="2165" t="s">
        <v>19</v>
      </c>
      <c r="G89" s="2163"/>
      <c r="H89" s="2168"/>
      <c r="I89" s="2170"/>
      <c r="J89" s="2172"/>
      <c r="K89" s="2157"/>
      <c r="L89" s="2157"/>
      <c r="M89" s="2157"/>
      <c r="N89" s="2159"/>
      <c r="O89" s="2157"/>
      <c r="P89" s="2157"/>
      <c r="Q89" s="2157"/>
      <c r="R89" s="2162"/>
      <c r="S89" s="2157"/>
      <c r="T89" s="1450"/>
      <c r="U89" s="1450"/>
      <c r="V89" s="1452"/>
      <c r="W89" s="1303"/>
      <c r="X89" s="1274"/>
      <c r="Y89" s="1274"/>
      <c r="Z89" s="1274"/>
      <c r="AA89" s="1274"/>
      <c r="AB89" s="1274"/>
      <c r="AC89" s="1274" t="s">
        <v>234</v>
      </c>
      <c r="AD89" s="1274" t="s">
        <v>235</v>
      </c>
      <c r="AE89" s="1274" t="s">
        <v>236</v>
      </c>
      <c r="AF89" s="1274" t="s">
        <v>237</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8">
        <f>$I$89</f>
        <v>0</v>
      </c>
      <c r="AO89" s="1274" t="str">
        <f>$I$89&amp;"."&amp;$M$89</f>
        <v>.</v>
      </c>
      <c r="AP89" s="1266" t="str">
        <f>$I$89&amp;"."&amp;$M$89&amp;"."&amp;$Q$89</f>
        <v>..</v>
      </c>
      <c r="AQ89" s="1266" t="str">
        <f>$I$89&amp;"."&amp;$M$89&amp;"."&amp;$Q$89&amp;"."&amp;$U$89</f>
        <v>...</v>
      </c>
      <c r="AR89" s="1357">
        <v>0</v>
      </c>
    </row>
    <row s="1857" customFormat="1" customHeight="1" ht="17.25" hidden="1">
      <c r="A90" s="328"/>
      <c r="C90" s="327"/>
      <c r="D90" s="2155"/>
      <c r="E90" s="2163"/>
      <c r="F90" s="2166"/>
      <c r="G90" s="2163"/>
      <c r="H90" s="2169"/>
      <c r="I90" s="2171"/>
      <c r="J90" s="2173"/>
      <c r="K90" s="2158"/>
      <c r="L90" s="2158"/>
      <c r="M90" s="2158"/>
      <c r="N90" s="2160"/>
      <c r="O90" s="2158"/>
      <c r="P90" s="2158"/>
      <c r="Q90" s="2158"/>
      <c r="R90" s="2161"/>
      <c r="S90" s="2158"/>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57" customFormat="1" customHeight="1" ht="17.25" hidden="1">
      <c r="A91" s="328"/>
      <c r="C91" s="327"/>
      <c r="D91" s="2156"/>
      <c r="E91" s="2164"/>
      <c r="F91" s="2166"/>
      <c r="G91" s="2164"/>
      <c r="H91" s="2169"/>
      <c r="I91" s="2171"/>
      <c r="J91" s="2174"/>
      <c r="K91" s="2158"/>
      <c r="L91" s="2158"/>
      <c r="M91" s="2158"/>
      <c r="N91" s="2161"/>
      <c r="O91" s="2158"/>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57" customFormat="1" customHeight="1" ht="17.25" hidden="1">
      <c r="A92" s="328"/>
      <c r="C92" s="327"/>
      <c r="D92" s="2156"/>
      <c r="E92" s="2164"/>
      <c r="F92" s="2166"/>
      <c r="G92" s="2164"/>
      <c r="H92" s="2169"/>
      <c r="I92" s="2171"/>
      <c r="J92" s="2174"/>
      <c r="K92" s="2158"/>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57" customFormat="1" customHeight="1" ht="17.25" hidden="1">
      <c r="A93" s="328"/>
      <c r="C93" s="327"/>
      <c r="D93" s="2156"/>
      <c r="E93" s="2164"/>
      <c r="F93" s="2167"/>
      <c r="G93" s="2164"/>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57" customFormat="1" customHeight="1" ht="17.25" hidden="1">
      <c r="A94" s="328"/>
      <c r="C94" s="216"/>
      <c r="D94" s="2155">
        <v>4</v>
      </c>
      <c r="E94" s="2163" t="s">
        <v>238</v>
      </c>
      <c r="F94" s="2165" t="s">
        <v>19</v>
      </c>
      <c r="G94" s="2163"/>
      <c r="H94" s="2168"/>
      <c r="I94" s="2170"/>
      <c r="J94" s="2172"/>
      <c r="K94" s="2157"/>
      <c r="L94" s="2157"/>
      <c r="M94" s="2157"/>
      <c r="N94" s="2159"/>
      <c r="O94" s="2157"/>
      <c r="P94" s="2157"/>
      <c r="Q94" s="2157"/>
      <c r="R94" s="2162"/>
      <c r="S94" s="2157"/>
      <c r="T94" s="1450"/>
      <c r="U94" s="1450"/>
      <c r="V94" s="1452"/>
      <c r="W94" s="1303"/>
      <c r="X94" s="1274"/>
      <c r="Y94" s="1274"/>
      <c r="Z94" s="1274"/>
      <c r="AA94" s="1274"/>
      <c r="AB94" s="1274"/>
      <c r="AC94" s="1274" t="s">
        <v>239</v>
      </c>
      <c r="AD94" s="1274" t="s">
        <v>240</v>
      </c>
      <c r="AE94" s="1274" t="s">
        <v>241</v>
      </c>
      <c r="AF94" s="1274" t="s">
        <v>242</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8">
        <f>$I$94</f>
        <v>0</v>
      </c>
      <c r="AO94" s="1274" t="str">
        <f>$I$94&amp;"."&amp;$M$94</f>
        <v>.</v>
      </c>
      <c r="AP94" s="1266" t="str">
        <f>$I$94&amp;"."&amp;$M$94&amp;"."&amp;$Q$94</f>
        <v>..</v>
      </c>
      <c r="AQ94" s="1266" t="str">
        <f>$I$94&amp;"."&amp;$M$94&amp;"."&amp;$Q$94&amp;"."&amp;$U$94</f>
        <v>...</v>
      </c>
      <c r="AR94" s="1357">
        <v>0</v>
      </c>
    </row>
    <row s="1857" customFormat="1" customHeight="1" ht="17.25" hidden="1">
      <c r="A95" s="328"/>
      <c r="C95" s="327"/>
      <c r="D95" s="2155"/>
      <c r="E95" s="2163"/>
      <c r="F95" s="2166"/>
      <c r="G95" s="2163"/>
      <c r="H95" s="2169"/>
      <c r="I95" s="2171"/>
      <c r="J95" s="2173"/>
      <c r="K95" s="2158"/>
      <c r="L95" s="2158"/>
      <c r="M95" s="2158"/>
      <c r="N95" s="2160"/>
      <c r="O95" s="2158"/>
      <c r="P95" s="2158"/>
      <c r="Q95" s="2158"/>
      <c r="R95" s="2161"/>
      <c r="S95" s="2158"/>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57" customFormat="1" customHeight="1" ht="17.25" hidden="1">
      <c r="A96" s="328"/>
      <c r="C96" s="327"/>
      <c r="D96" s="2156"/>
      <c r="E96" s="2164"/>
      <c r="F96" s="2166"/>
      <c r="G96" s="2164"/>
      <c r="H96" s="2169"/>
      <c r="I96" s="2171"/>
      <c r="J96" s="2174"/>
      <c r="K96" s="2158"/>
      <c r="L96" s="2158"/>
      <c r="M96" s="2158"/>
      <c r="N96" s="2161"/>
      <c r="O96" s="2158"/>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57" customFormat="1" customHeight="1" ht="17.25" hidden="1">
      <c r="A97" s="328"/>
      <c r="C97" s="327"/>
      <c r="D97" s="2156"/>
      <c r="E97" s="2164"/>
      <c r="F97" s="2166"/>
      <c r="G97" s="2164"/>
      <c r="H97" s="2169"/>
      <c r="I97" s="2171"/>
      <c r="J97" s="2174"/>
      <c r="K97" s="2158"/>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57" customFormat="1" customHeight="1" ht="17.25" hidden="1">
      <c r="A98" s="328"/>
      <c r="C98" s="327"/>
      <c r="D98" s="2156"/>
      <c r="E98" s="2164"/>
      <c r="F98" s="2167"/>
      <c r="G98" s="2164"/>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57" customFormat="1" customHeight="1" ht="17.25" hidden="1">
      <c r="A99" s="328"/>
      <c r="C99" s="216"/>
      <c r="D99" s="2155">
        <v>5</v>
      </c>
      <c r="E99" s="2163" t="s">
        <v>243</v>
      </c>
      <c r="F99" s="2165" t="s">
        <v>19</v>
      </c>
      <c r="G99" s="2163"/>
      <c r="H99" s="2168"/>
      <c r="I99" s="2170"/>
      <c r="J99" s="2172"/>
      <c r="K99" s="2157"/>
      <c r="L99" s="2157"/>
      <c r="M99" s="2157"/>
      <c r="N99" s="2159"/>
      <c r="O99" s="2157"/>
      <c r="P99" s="2157"/>
      <c r="Q99" s="2157"/>
      <c r="R99" s="2162"/>
      <c r="S99" s="2157"/>
      <c r="T99" s="1947"/>
      <c r="U99" s="1947"/>
      <c r="V99" s="1949"/>
      <c r="W99" s="1303"/>
      <c r="X99" s="1274"/>
      <c r="Y99" s="1274"/>
      <c r="Z99" s="1274"/>
      <c r="AA99" s="1274"/>
      <c r="AB99" s="1274"/>
      <c r="AC99" s="1274" t="s">
        <v>244</v>
      </c>
      <c r="AD99" s="1274" t="s">
        <v>245</v>
      </c>
      <c r="AE99" s="1274" t="s">
        <v>246</v>
      </c>
      <c r="AF99" s="1274" t="s">
        <v>247</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8">
        <f>$I$99</f>
        <v>0</v>
      </c>
      <c r="AO99" s="1274" t="str">
        <f>$I$99&amp;"."&amp;$M$99</f>
        <v>.</v>
      </c>
      <c r="AP99" s="1273" t="str">
        <f>$I$99&amp;"."&amp;$M$99&amp;"."&amp;$Q$99</f>
        <v>..</v>
      </c>
      <c r="AQ99" s="1273" t="str">
        <f>$I$99&amp;"."&amp;$M$99&amp;"."&amp;$Q$99&amp;"."&amp;$U$99</f>
        <v>...</v>
      </c>
      <c r="AR99" s="1474">
        <v>0</v>
      </c>
    </row>
    <row s="1857" customFormat="1" customHeight="1" ht="17.25" hidden="1">
      <c r="A100" s="328"/>
      <c r="C100" s="327"/>
      <c r="D100" s="2155"/>
      <c r="E100" s="2163"/>
      <c r="F100" s="2166"/>
      <c r="G100" s="2163"/>
      <c r="H100" s="2169"/>
      <c r="I100" s="2171"/>
      <c r="J100" s="2173"/>
      <c r="K100" s="2158"/>
      <c r="L100" s="2158"/>
      <c r="M100" s="2158"/>
      <c r="N100" s="2160"/>
      <c r="O100" s="2158"/>
      <c r="P100" s="2158"/>
      <c r="Q100" s="2158"/>
      <c r="R100" s="2161"/>
      <c r="S100" s="2158"/>
      <c r="T100" s="1952"/>
      <c r="U100" s="1952"/>
      <c r="V100" s="1952"/>
      <c r="W100" s="1953"/>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57" customFormat="1" customHeight="1" ht="17.25" hidden="1">
      <c r="A101" s="328"/>
      <c r="C101" s="327"/>
      <c r="D101" s="2156"/>
      <c r="E101" s="2164"/>
      <c r="F101" s="2166"/>
      <c r="G101" s="2164"/>
      <c r="H101" s="2169"/>
      <c r="I101" s="2171"/>
      <c r="J101" s="2174"/>
      <c r="K101" s="2158"/>
      <c r="L101" s="2158"/>
      <c r="M101" s="2158"/>
      <c r="N101" s="2161"/>
      <c r="O101" s="2158"/>
      <c r="P101" s="1948"/>
      <c r="Q101" s="1952"/>
      <c r="R101" s="1952"/>
      <c r="S101" s="336"/>
      <c r="T101" s="336"/>
      <c r="U101" s="336"/>
      <c r="V101" s="336"/>
      <c r="W101" s="1953"/>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57" customFormat="1" customHeight="1" ht="17.25" hidden="1">
      <c r="A102" s="328"/>
      <c r="C102" s="327"/>
      <c r="D102" s="2156"/>
      <c r="E102" s="2164"/>
      <c r="F102" s="2166"/>
      <c r="G102" s="2164"/>
      <c r="H102" s="2169"/>
      <c r="I102" s="2171"/>
      <c r="J102" s="2174"/>
      <c r="K102" s="2158"/>
      <c r="L102" s="1952"/>
      <c r="M102" s="1952"/>
      <c r="N102" s="1952"/>
      <c r="O102" s="1952"/>
      <c r="P102" s="1952"/>
      <c r="Q102" s="1952"/>
      <c r="R102" s="1952"/>
      <c r="S102" s="336"/>
      <c r="T102" s="336"/>
      <c r="U102" s="336"/>
      <c r="V102" s="336"/>
      <c r="W102" s="1953"/>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57" customFormat="1" customHeight="1" ht="17.25" hidden="1">
      <c r="A103" s="328"/>
      <c r="C103" s="327"/>
      <c r="D103" s="2156"/>
      <c r="E103" s="2164"/>
      <c r="F103" s="2167"/>
      <c r="G103" s="2164"/>
      <c r="H103" s="1306"/>
      <c r="I103" s="1950"/>
      <c r="J103" s="1950"/>
      <c r="K103" s="1950"/>
      <c r="L103" s="1950"/>
      <c r="M103" s="1950"/>
      <c r="N103" s="1950"/>
      <c r="O103" s="1950"/>
      <c r="P103" s="1950"/>
      <c r="Q103" s="1950"/>
      <c r="R103" s="1950"/>
      <c r="S103" s="1308"/>
      <c r="T103" s="1308"/>
      <c r="U103" s="1308"/>
      <c r="V103" s="1308"/>
      <c r="W103" s="1951"/>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57"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57" customFormat="1" customHeight="1" ht="17.25" hidden="1">
      <c r="A105" s="328"/>
      <c r="C105" s="216"/>
      <c r="D105" s="2155">
        <v>1</v>
      </c>
      <c r="E105" s="2163" t="s">
        <v>248</v>
      </c>
      <c r="F105" s="2165" t="s">
        <v>19</v>
      </c>
      <c r="G105" s="2163"/>
      <c r="H105" s="2168"/>
      <c r="I105" s="2170"/>
      <c r="J105" s="2172"/>
      <c r="K105" s="2157"/>
      <c r="L105" s="2157"/>
      <c r="M105" s="2157"/>
      <c r="N105" s="2159"/>
      <c r="O105" s="2157"/>
      <c r="P105" s="2157"/>
      <c r="Q105" s="2157"/>
      <c r="R105" s="2162"/>
      <c r="S105" s="2157"/>
      <c r="T105" s="1477"/>
      <c r="U105" s="1477"/>
      <c r="V105" s="1479"/>
      <c r="W105" s="1303"/>
      <c r="Y105" s="1274"/>
      <c r="Z105" s="1274"/>
      <c r="AA105" s="1274"/>
      <c r="AB105" s="1274"/>
      <c r="AC105" s="1274" t="s">
        <v>249</v>
      </c>
      <c r="AD105" s="1274" t="s">
        <v>250</v>
      </c>
      <c r="AE105" s="1274" t="s">
        <v>251</v>
      </c>
      <c r="AF105" s="1274" t="s">
        <v>252</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57" customFormat="1" customHeight="1" ht="17.25" hidden="1">
      <c r="A106" s="328"/>
      <c r="C106" s="327"/>
      <c r="D106" s="2155"/>
      <c r="E106" s="2163"/>
      <c r="F106" s="2166"/>
      <c r="G106" s="2163"/>
      <c r="H106" s="2169"/>
      <c r="I106" s="2171"/>
      <c r="J106" s="2173"/>
      <c r="K106" s="2158"/>
      <c r="L106" s="2158"/>
      <c r="M106" s="2158"/>
      <c r="N106" s="2160"/>
      <c r="O106" s="2158"/>
      <c r="P106" s="2158"/>
      <c r="Q106" s="2158"/>
      <c r="R106" s="2161"/>
      <c r="S106" s="2158"/>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57" customFormat="1" customHeight="1" ht="17.25" hidden="1">
      <c r="A107" s="328"/>
      <c r="C107" s="216"/>
      <c r="D107" s="2155"/>
      <c r="E107" s="2163"/>
      <c r="F107" s="2166"/>
      <c r="G107" s="2163"/>
      <c r="H107" s="2169"/>
      <c r="I107" s="2171"/>
      <c r="J107" s="2174"/>
      <c r="K107" s="2158"/>
      <c r="L107" s="2158"/>
      <c r="M107" s="2158"/>
      <c r="N107" s="2161"/>
      <c r="O107" s="2158"/>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57" customFormat="1" customHeight="1" ht="17.25" hidden="1">
      <c r="A108" s="328"/>
      <c r="C108" s="327"/>
      <c r="D108" s="2155"/>
      <c r="E108" s="2163"/>
      <c r="F108" s="2166"/>
      <c r="G108" s="2163"/>
      <c r="H108" s="2169"/>
      <c r="I108" s="2171"/>
      <c r="J108" s="2174"/>
      <c r="K108" s="2158"/>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57" customFormat="1" customHeight="1" ht="17.25" hidden="1">
      <c r="A109" s="328"/>
      <c r="C109" s="327"/>
      <c r="D109" s="2156"/>
      <c r="E109" s="2164"/>
      <c r="F109" s="2167"/>
      <c r="G109" s="2164"/>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57" customFormat="1" customHeight="1" ht="17.25" hidden="1">
      <c r="A110" s="328"/>
      <c r="C110" s="216"/>
      <c r="D110" s="2155">
        <v>2</v>
      </c>
      <c r="E110" s="2163" t="s">
        <v>253</v>
      </c>
      <c r="F110" s="2165" t="s">
        <v>19</v>
      </c>
      <c r="G110" s="2163"/>
      <c r="H110" s="2168"/>
      <c r="I110" s="2170"/>
      <c r="J110" s="2172"/>
      <c r="K110" s="2157"/>
      <c r="L110" s="2157"/>
      <c r="M110" s="2157"/>
      <c r="N110" s="2159"/>
      <c r="O110" s="2157"/>
      <c r="P110" s="2157"/>
      <c r="Q110" s="2157"/>
      <c r="R110" s="2162"/>
      <c r="S110" s="2157"/>
      <c r="T110" s="1477"/>
      <c r="U110" s="1477"/>
      <c r="V110" s="1479"/>
      <c r="W110" s="1303"/>
      <c r="X110" s="1274"/>
      <c r="Y110" s="1274"/>
      <c r="Z110" s="1274"/>
      <c r="AA110" s="1274"/>
      <c r="AB110" s="1274"/>
      <c r="AC110" s="1274" t="s">
        <v>254</v>
      </c>
      <c r="AD110" s="1274" t="s">
        <v>255</v>
      </c>
      <c r="AE110" s="1274" t="s">
        <v>256</v>
      </c>
      <c r="AF110" s="1274" t="s">
        <v>257</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8">
        <f>$I$110</f>
        <v>0</v>
      </c>
      <c r="AO110" s="1274" t="str">
        <f>$I$110&amp;"."&amp;$M$110</f>
        <v>.</v>
      </c>
      <c r="AP110" s="1266" t="str">
        <f>$I$110&amp;"."&amp;$M$110&amp;"."&amp;$Q$110</f>
        <v>..</v>
      </c>
      <c r="AQ110" s="1266" t="str">
        <f>$I$110&amp;"."&amp;$M$110&amp;"."&amp;$Q$110&amp;"."&amp;$U$110</f>
        <v>...</v>
      </c>
      <c r="AR110" s="1474">
        <v>0</v>
      </c>
    </row>
    <row s="1857" customFormat="1" customHeight="1" ht="17.25" hidden="1">
      <c r="A111" s="328"/>
      <c r="C111" s="327"/>
      <c r="D111" s="2155"/>
      <c r="E111" s="2163"/>
      <c r="F111" s="2166"/>
      <c r="G111" s="2163"/>
      <c r="H111" s="2169"/>
      <c r="I111" s="2171"/>
      <c r="J111" s="2173"/>
      <c r="K111" s="2158"/>
      <c r="L111" s="2158"/>
      <c r="M111" s="2158"/>
      <c r="N111" s="2160"/>
      <c r="O111" s="2158"/>
      <c r="P111" s="2158"/>
      <c r="Q111" s="2158"/>
      <c r="R111" s="2161"/>
      <c r="S111" s="2158"/>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57" customFormat="1" customHeight="1" ht="17.25" hidden="1">
      <c r="A112" s="328"/>
      <c r="C112" s="327"/>
      <c r="D112" s="2156"/>
      <c r="E112" s="2164"/>
      <c r="F112" s="2166"/>
      <c r="G112" s="2164"/>
      <c r="H112" s="2169"/>
      <c r="I112" s="2171"/>
      <c r="J112" s="2174"/>
      <c r="K112" s="2158"/>
      <c r="L112" s="2158"/>
      <c r="M112" s="2158"/>
      <c r="N112" s="2161"/>
      <c r="O112" s="2158"/>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57" customFormat="1" customHeight="1" ht="17.25" hidden="1">
      <c r="A113" s="328"/>
      <c r="C113" s="327"/>
      <c r="D113" s="2156"/>
      <c r="E113" s="2164"/>
      <c r="F113" s="2166"/>
      <c r="G113" s="2164"/>
      <c r="H113" s="2169"/>
      <c r="I113" s="2171"/>
      <c r="J113" s="2174"/>
      <c r="K113" s="2158"/>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57" customFormat="1" customHeight="1" ht="17.25" hidden="1">
      <c r="A114" s="328"/>
      <c r="C114" s="327"/>
      <c r="D114" s="2156"/>
      <c r="E114" s="2164"/>
      <c r="F114" s="2167"/>
      <c r="G114" s="2164"/>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57" customFormat="1" customHeight="1" ht="17.25" hidden="1">
      <c r="A115" s="328"/>
      <c r="C115" s="216"/>
      <c r="D115" s="2155">
        <v>3</v>
      </c>
      <c r="E115" s="2163" t="s">
        <v>258</v>
      </c>
      <c r="F115" s="2165" t="s">
        <v>19</v>
      </c>
      <c r="G115" s="2163"/>
      <c r="H115" s="2168"/>
      <c r="I115" s="2170"/>
      <c r="J115" s="2172"/>
      <c r="K115" s="2157"/>
      <c r="L115" s="2157"/>
      <c r="M115" s="2157"/>
      <c r="N115" s="2159"/>
      <c r="O115" s="2157"/>
      <c r="P115" s="2157"/>
      <c r="Q115" s="2157"/>
      <c r="R115" s="2162"/>
      <c r="S115" s="2157"/>
      <c r="T115" s="1947"/>
      <c r="U115" s="1947"/>
      <c r="V115" s="1949"/>
      <c r="W115" s="1303"/>
      <c r="X115" s="1274"/>
      <c r="Y115" s="1274"/>
      <c r="Z115" s="1274"/>
      <c r="AA115" s="1274"/>
      <c r="AB115" s="1274"/>
      <c r="AC115" s="1274" t="s">
        <v>259</v>
      </c>
      <c r="AD115" s="1274" t="s">
        <v>260</v>
      </c>
      <c r="AE115" s="1274" t="s">
        <v>261</v>
      </c>
      <c r="AF115" s="1274" t="s">
        <v>262</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8">
        <f>$I$115</f>
        <v>0</v>
      </c>
      <c r="AO115" s="1274" t="str">
        <f>$I$115&amp;"."&amp;$M$115</f>
        <v>.</v>
      </c>
      <c r="AP115" s="1273" t="str">
        <f>$I$115&amp;"."&amp;$M$115&amp;"."&amp;$Q$115</f>
        <v>..</v>
      </c>
      <c r="AQ115" s="1273" t="str">
        <f>$I$115&amp;"."&amp;$M$115&amp;"."&amp;$Q$115&amp;"."&amp;$U$115</f>
        <v>...</v>
      </c>
      <c r="AR115" s="1474">
        <v>0</v>
      </c>
    </row>
    <row s="1857" customFormat="1" customHeight="1" ht="17.25" hidden="1">
      <c r="A116" s="328"/>
      <c r="C116" s="327"/>
      <c r="D116" s="2155"/>
      <c r="E116" s="2163"/>
      <c r="F116" s="2166"/>
      <c r="G116" s="2163"/>
      <c r="H116" s="2169"/>
      <c r="I116" s="2171"/>
      <c r="J116" s="2173"/>
      <c r="K116" s="2158"/>
      <c r="L116" s="2158"/>
      <c r="M116" s="2158"/>
      <c r="N116" s="2160"/>
      <c r="O116" s="2158"/>
      <c r="P116" s="2158"/>
      <c r="Q116" s="2158"/>
      <c r="R116" s="2161"/>
      <c r="S116" s="2158"/>
      <c r="T116" s="1952"/>
      <c r="U116" s="1952"/>
      <c r="V116" s="1952"/>
      <c r="W116" s="1953"/>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57" customFormat="1" customHeight="1" ht="17.25" hidden="1">
      <c r="A117" s="328"/>
      <c r="C117" s="327"/>
      <c r="D117" s="2156"/>
      <c r="E117" s="2164"/>
      <c r="F117" s="2166"/>
      <c r="G117" s="2164"/>
      <c r="H117" s="2169"/>
      <c r="I117" s="2171"/>
      <c r="J117" s="2174"/>
      <c r="K117" s="2158"/>
      <c r="L117" s="2158"/>
      <c r="M117" s="2158"/>
      <c r="N117" s="2161"/>
      <c r="O117" s="2158"/>
      <c r="P117" s="1948"/>
      <c r="Q117" s="1952"/>
      <c r="R117" s="1952"/>
      <c r="S117" s="336"/>
      <c r="T117" s="336"/>
      <c r="U117" s="336"/>
      <c r="V117" s="336"/>
      <c r="W117" s="1953"/>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57" customFormat="1" customHeight="1" ht="17.25" hidden="1">
      <c r="A118" s="328"/>
      <c r="C118" s="327"/>
      <c r="D118" s="2156"/>
      <c r="E118" s="2164"/>
      <c r="F118" s="2166"/>
      <c r="G118" s="2164"/>
      <c r="H118" s="2169"/>
      <c r="I118" s="2171"/>
      <c r="J118" s="2174"/>
      <c r="K118" s="2158"/>
      <c r="L118" s="1952"/>
      <c r="M118" s="1952"/>
      <c r="N118" s="1952"/>
      <c r="O118" s="1952"/>
      <c r="P118" s="1952"/>
      <c r="Q118" s="1952"/>
      <c r="R118" s="1952"/>
      <c r="S118" s="336"/>
      <c r="T118" s="336"/>
      <c r="U118" s="336"/>
      <c r="V118" s="336"/>
      <c r="W118" s="1953"/>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57" customFormat="1" customHeight="1" ht="17.25" hidden="1">
      <c r="A119" s="328"/>
      <c r="C119" s="327"/>
      <c r="D119" s="2156"/>
      <c r="E119" s="2164"/>
      <c r="F119" s="2167"/>
      <c r="G119" s="2164"/>
      <c r="H119" s="1306"/>
      <c r="I119" s="1950"/>
      <c r="J119" s="1950"/>
      <c r="K119" s="1950"/>
      <c r="L119" s="1950"/>
      <c r="M119" s="1950"/>
      <c r="N119" s="1950"/>
      <c r="O119" s="1950"/>
      <c r="P119" s="1950"/>
      <c r="Q119" s="1950"/>
      <c r="R119" s="1950"/>
      <c r="S119" s="1308"/>
      <c r="T119" s="1308"/>
      <c r="U119" s="1308"/>
      <c r="V119" s="1308"/>
      <c r="W119" s="1951"/>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57"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57" customFormat="1" customHeight="1" ht="17.25" hidden="1">
      <c r="A121" s="328"/>
      <c r="C121" s="216"/>
      <c r="D121" s="2155">
        <v>1</v>
      </c>
      <c r="E121" s="2163" t="s">
        <v>263</v>
      </c>
      <c r="F121" s="2165" t="s">
        <v>19</v>
      </c>
      <c r="G121" s="2163"/>
      <c r="H121" s="2168"/>
      <c r="I121" s="2170"/>
      <c r="J121" s="2172"/>
      <c r="K121" s="2157"/>
      <c r="L121" s="2157"/>
      <c r="M121" s="2157"/>
      <c r="N121" s="2159"/>
      <c r="O121" s="2157"/>
      <c r="P121" s="2157"/>
      <c r="Q121" s="2157"/>
      <c r="R121" s="2162"/>
      <c r="S121" s="2157"/>
      <c r="T121" s="1477"/>
      <c r="U121" s="1477"/>
      <c r="V121" s="1479"/>
      <c r="W121" s="1303"/>
      <c r="Y121" s="1274"/>
      <c r="Z121" s="1274"/>
      <c r="AA121" s="1274"/>
      <c r="AB121" s="1274"/>
      <c r="AC121" s="1274" t="s">
        <v>264</v>
      </c>
      <c r="AD121" s="1274" t="s">
        <v>265</v>
      </c>
      <c r="AE121" s="1274" t="s">
        <v>266</v>
      </c>
      <c r="AF121" s="1274" t="s">
        <v>267</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57" customFormat="1" customHeight="1" ht="17.25" hidden="1">
      <c r="A122" s="328"/>
      <c r="C122" s="327"/>
      <c r="D122" s="2155"/>
      <c r="E122" s="2163"/>
      <c r="F122" s="2166"/>
      <c r="G122" s="2163"/>
      <c r="H122" s="2169"/>
      <c r="I122" s="2171"/>
      <c r="J122" s="2173"/>
      <c r="K122" s="2158"/>
      <c r="L122" s="2158"/>
      <c r="M122" s="2158"/>
      <c r="N122" s="2160"/>
      <c r="O122" s="2158"/>
      <c r="P122" s="2158"/>
      <c r="Q122" s="2158"/>
      <c r="R122" s="2161"/>
      <c r="S122" s="2158"/>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57" customFormat="1" customHeight="1" ht="17.25" hidden="1">
      <c r="A123" s="328"/>
      <c r="C123" s="216"/>
      <c r="D123" s="2155"/>
      <c r="E123" s="2163"/>
      <c r="F123" s="2166"/>
      <c r="G123" s="2163"/>
      <c r="H123" s="2169"/>
      <c r="I123" s="2171"/>
      <c r="J123" s="2174"/>
      <c r="K123" s="2158"/>
      <c r="L123" s="2158"/>
      <c r="M123" s="2158"/>
      <c r="N123" s="2161"/>
      <c r="O123" s="2158"/>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57" customFormat="1" customHeight="1" ht="17.25" hidden="1">
      <c r="A124" s="328"/>
      <c r="C124" s="327"/>
      <c r="D124" s="2155"/>
      <c r="E124" s="2163"/>
      <c r="F124" s="2166"/>
      <c r="G124" s="2163"/>
      <c r="H124" s="2169"/>
      <c r="I124" s="2171"/>
      <c r="J124" s="2174"/>
      <c r="K124" s="2158"/>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57" customFormat="1" customHeight="1" ht="17.25" hidden="1">
      <c r="A125" s="328"/>
      <c r="C125" s="327"/>
      <c r="D125" s="2156"/>
      <c r="E125" s="2164"/>
      <c r="F125" s="2167"/>
      <c r="G125" s="2164"/>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57" customFormat="1" customHeight="1" ht="17.25" hidden="1">
      <c r="A126" s="328"/>
      <c r="C126" s="216"/>
      <c r="D126" s="2155">
        <v>2</v>
      </c>
      <c r="E126" s="2163" t="s">
        <v>268</v>
      </c>
      <c r="F126" s="2165" t="s">
        <v>19</v>
      </c>
      <c r="G126" s="2163"/>
      <c r="H126" s="2168"/>
      <c r="I126" s="2170"/>
      <c r="J126" s="2172"/>
      <c r="K126" s="2157"/>
      <c r="L126" s="2157"/>
      <c r="M126" s="2157"/>
      <c r="N126" s="2159"/>
      <c r="O126" s="2157"/>
      <c r="P126" s="2157"/>
      <c r="Q126" s="2157"/>
      <c r="R126" s="2162"/>
      <c r="S126" s="2157"/>
      <c r="T126" s="1477"/>
      <c r="U126" s="1477"/>
      <c r="V126" s="1479"/>
      <c r="W126" s="1303"/>
      <c r="X126" s="1274"/>
      <c r="Y126" s="1274"/>
      <c r="Z126" s="1274"/>
      <c r="AA126" s="1274"/>
      <c r="AB126" s="1274"/>
      <c r="AC126" s="1274" t="s">
        <v>269</v>
      </c>
      <c r="AD126" s="1274" t="s">
        <v>270</v>
      </c>
      <c r="AE126" s="1274" t="s">
        <v>271</v>
      </c>
      <c r="AF126" s="1274" t="s">
        <v>272</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8">
        <f>$I$126</f>
        <v>0</v>
      </c>
      <c r="AO126" s="1274" t="str">
        <f>$I$126&amp;"."&amp;$M$126</f>
        <v>.</v>
      </c>
      <c r="AP126" s="1266" t="str">
        <f>$I$126&amp;"."&amp;$M$126&amp;"."&amp;$Q$126</f>
        <v>..</v>
      </c>
      <c r="AQ126" s="1266" t="str">
        <f>$I$126&amp;"."&amp;$M$126&amp;"."&amp;$Q$126&amp;"."&amp;$U$126</f>
        <v>...</v>
      </c>
      <c r="AR126" s="1474">
        <v>0</v>
      </c>
    </row>
    <row s="1857" customFormat="1" customHeight="1" ht="17.25" hidden="1">
      <c r="A127" s="328"/>
      <c r="C127" s="327"/>
      <c r="D127" s="2155"/>
      <c r="E127" s="2163"/>
      <c r="F127" s="2166"/>
      <c r="G127" s="2163"/>
      <c r="H127" s="2169"/>
      <c r="I127" s="2171"/>
      <c r="J127" s="2173"/>
      <c r="K127" s="2158"/>
      <c r="L127" s="2158"/>
      <c r="M127" s="2158"/>
      <c r="N127" s="2160"/>
      <c r="O127" s="2158"/>
      <c r="P127" s="2158"/>
      <c r="Q127" s="2158"/>
      <c r="R127" s="2161"/>
      <c r="S127" s="2158"/>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57" customFormat="1" customHeight="1" ht="17.25" hidden="1">
      <c r="A128" s="328"/>
      <c r="C128" s="327"/>
      <c r="D128" s="2156"/>
      <c r="E128" s="2164"/>
      <c r="F128" s="2166"/>
      <c r="G128" s="2164"/>
      <c r="H128" s="2169"/>
      <c r="I128" s="2171"/>
      <c r="J128" s="2174"/>
      <c r="K128" s="2158"/>
      <c r="L128" s="2158"/>
      <c r="M128" s="2158"/>
      <c r="N128" s="2161"/>
      <c r="O128" s="2158"/>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57" customFormat="1" customHeight="1" ht="17.25" hidden="1">
      <c r="A129" s="328"/>
      <c r="C129" s="327"/>
      <c r="D129" s="2156"/>
      <c r="E129" s="2164"/>
      <c r="F129" s="2166"/>
      <c r="G129" s="2164"/>
      <c r="H129" s="2169"/>
      <c r="I129" s="2171"/>
      <c r="J129" s="2174"/>
      <c r="K129" s="2158"/>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57" customFormat="1" customHeight="1" ht="17.25" hidden="1">
      <c r="A130" s="328"/>
      <c r="C130" s="327"/>
      <c r="D130" s="2156"/>
      <c r="E130" s="2164"/>
      <c r="F130" s="2167"/>
      <c r="G130" s="2164"/>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57" customFormat="1" customHeight="1" ht="17.25" hidden="1">
      <c r="A131" s="328"/>
      <c r="C131" s="216"/>
      <c r="D131" s="2155">
        <v>3</v>
      </c>
      <c r="E131" s="2163" t="s">
        <v>273</v>
      </c>
      <c r="F131" s="2165" t="s">
        <v>19</v>
      </c>
      <c r="G131" s="2163"/>
      <c r="H131" s="2168"/>
      <c r="I131" s="2170"/>
      <c r="J131" s="2172"/>
      <c r="K131" s="2157"/>
      <c r="L131" s="2157"/>
      <c r="M131" s="2157"/>
      <c r="N131" s="2159"/>
      <c r="O131" s="2157"/>
      <c r="P131" s="2157"/>
      <c r="Q131" s="2157"/>
      <c r="R131" s="2162"/>
      <c r="S131" s="2157"/>
      <c r="T131" s="1947"/>
      <c r="U131" s="1947"/>
      <c r="V131" s="1949"/>
      <c r="W131" s="1303"/>
      <c r="X131" s="1274"/>
      <c r="Y131" s="1274"/>
      <c r="Z131" s="1274"/>
      <c r="AA131" s="1274"/>
      <c r="AB131" s="1274"/>
      <c r="AC131" s="1274" t="s">
        <v>274</v>
      </c>
      <c r="AD131" s="1274" t="s">
        <v>275</v>
      </c>
      <c r="AE131" s="1274" t="s">
        <v>276</v>
      </c>
      <c r="AF131" s="1274" t="s">
        <v>277</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8">
        <f>$I$131</f>
        <v>0</v>
      </c>
      <c r="AO131" s="1274" t="str">
        <f>$I$131&amp;"."&amp;$M$131</f>
        <v>.</v>
      </c>
      <c r="AP131" s="1273" t="str">
        <f>$I$131&amp;"."&amp;$M$131&amp;"."&amp;$Q$131</f>
        <v>..</v>
      </c>
      <c r="AQ131" s="1273" t="str">
        <f>$I$131&amp;"."&amp;$M$131&amp;"."&amp;$Q$131&amp;"."&amp;$U$131</f>
        <v>...</v>
      </c>
      <c r="AR131" s="1474">
        <v>0</v>
      </c>
    </row>
    <row s="1857" customFormat="1" customHeight="1" ht="17.25" hidden="1">
      <c r="A132" s="328"/>
      <c r="C132" s="327"/>
      <c r="D132" s="2155"/>
      <c r="E132" s="2163"/>
      <c r="F132" s="2166"/>
      <c r="G132" s="2163"/>
      <c r="H132" s="2169"/>
      <c r="I132" s="2171"/>
      <c r="J132" s="2173"/>
      <c r="K132" s="2158"/>
      <c r="L132" s="2158"/>
      <c r="M132" s="2158"/>
      <c r="N132" s="2160"/>
      <c r="O132" s="2158"/>
      <c r="P132" s="2158"/>
      <c r="Q132" s="2158"/>
      <c r="R132" s="2161"/>
      <c r="S132" s="2158"/>
      <c r="T132" s="1952"/>
      <c r="U132" s="1952"/>
      <c r="V132" s="1952"/>
      <c r="W132" s="1953"/>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57" customFormat="1" customHeight="1" ht="17.25" hidden="1">
      <c r="A133" s="328"/>
      <c r="C133" s="327"/>
      <c r="D133" s="2156"/>
      <c r="E133" s="2164"/>
      <c r="F133" s="2166"/>
      <c r="G133" s="2164"/>
      <c r="H133" s="2169"/>
      <c r="I133" s="2171"/>
      <c r="J133" s="2174"/>
      <c r="K133" s="2158"/>
      <c r="L133" s="2158"/>
      <c r="M133" s="2158"/>
      <c r="N133" s="2161"/>
      <c r="O133" s="2158"/>
      <c r="P133" s="1948"/>
      <c r="Q133" s="1952"/>
      <c r="R133" s="1952"/>
      <c r="S133" s="336"/>
      <c r="T133" s="336"/>
      <c r="U133" s="336"/>
      <c r="V133" s="336"/>
      <c r="W133" s="1953"/>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57" customFormat="1" customHeight="1" ht="17.25" hidden="1">
      <c r="A134" s="328"/>
      <c r="C134" s="327"/>
      <c r="D134" s="2156"/>
      <c r="E134" s="2164"/>
      <c r="F134" s="2166"/>
      <c r="G134" s="2164"/>
      <c r="H134" s="2169"/>
      <c r="I134" s="2171"/>
      <c r="J134" s="2174"/>
      <c r="K134" s="2158"/>
      <c r="L134" s="1952"/>
      <c r="M134" s="1952"/>
      <c r="N134" s="1952"/>
      <c r="O134" s="1952"/>
      <c r="P134" s="1952"/>
      <c r="Q134" s="1952"/>
      <c r="R134" s="1952"/>
      <c r="S134" s="336"/>
      <c r="T134" s="336"/>
      <c r="U134" s="336"/>
      <c r="V134" s="336"/>
      <c r="W134" s="1953"/>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57" customFormat="1" customHeight="1" ht="17.25" hidden="1">
      <c r="A135" s="328"/>
      <c r="C135" s="327"/>
      <c r="D135" s="2156"/>
      <c r="E135" s="2164"/>
      <c r="F135" s="2167"/>
      <c r="G135" s="2164"/>
      <c r="H135" s="1306"/>
      <c r="I135" s="1950"/>
      <c r="J135" s="1950"/>
      <c r="K135" s="1950"/>
      <c r="L135" s="1950"/>
      <c r="M135" s="1950"/>
      <c r="N135" s="1950"/>
      <c r="O135" s="1950"/>
      <c r="P135" s="1950"/>
      <c r="Q135" s="1950"/>
      <c r="R135" s="1950"/>
      <c r="S135" s="1308"/>
      <c r="T135" s="1308"/>
      <c r="U135" s="1308"/>
      <c r="V135" s="1308"/>
      <c r="W135" s="1951"/>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81</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9E3C1-CEEA-2437-F71A-0.6B4C589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57" t="s">
        <v>1253</v>
      </c>
      <c r="E5" s="2257"/>
      <c r="F5" s="2257"/>
      <c r="G5" s="2257"/>
      <c r="H5" s="2257"/>
      <c r="I5" s="2257"/>
      <c r="J5" s="2257"/>
      <c r="V5" s="512">
        <v>63</v>
      </c>
    </row>
    <row customHeight="1" ht="15.75">
      <c r="C6" s="183"/>
      <c r="D6" s="2196" t="str">
        <f>IF(org=0,"Не определено",org)</f>
        <v>ИМУП «ПОСЖИЛКОМСЕРВИС»</v>
      </c>
      <c r="E6" s="2196"/>
      <c r="F6" s="2196"/>
      <c r="G6" s="2196"/>
      <c r="H6" s="2196"/>
      <c r="I6" s="2196"/>
      <c r="J6" s="2196"/>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117</v>
      </c>
      <c r="J8" s="759"/>
      <c r="K8" s="424"/>
      <c r="U8" s="682"/>
      <c r="V8" s="765">
        <v>1</v>
      </c>
    </row>
    <row customHeight="1" ht="15.75">
      <c r="C9" s="183"/>
      <c r="D9" s="718"/>
      <c r="E9" s="2387" t="s">
        <v>105</v>
      </c>
      <c r="F9" s="2388"/>
      <c r="G9" s="2415" t="str">
        <f>IF(G8="","",INDEX(DIFFERENTIATION_UNMERGE_VD,MATCH(G8,DIFFERENTIATION_ID_DIFF,0)))</f>
        <v/>
      </c>
      <c r="H9" s="2416"/>
      <c r="I9" s="2415" t="str">
        <f>IF(I8="","",INDEX(DIFFERENTIATION_UNMERGE_VD,MATCH(I8,DIFFERENTIATION_ID_DIFF,0)))</f>
        <v>Холодное водоснабжение. Питьевая вода</v>
      </c>
      <c r="J9" s="2416"/>
      <c r="K9" s="2195" t="s">
        <v>300</v>
      </c>
      <c r="V9" s="512">
        <v>15</v>
      </c>
    </row>
    <row s="1642" customFormat="1" customHeight="1" ht="15.75">
      <c r="A10" s="766"/>
      <c r="C10" s="183"/>
      <c r="D10" s="718"/>
      <c r="E10" s="2387" t="s">
        <v>563</v>
      </c>
      <c r="F10" s="2388"/>
      <c r="G10" s="2415" t="str">
        <f>IF(G8="","",INDEX(DIFFERENTIATION_UNMERGE_AREA,MATCH(G8,DIFFERENTIATION_ID_DIFF,0)))</f>
        <v/>
      </c>
      <c r="H10" s="2416"/>
      <c r="I10" s="2415" t="str">
        <f>IF(I8="","",INDEX(DIFFERENTIATION_UNMERGE_AREA,MATCH(I8,DIFFERENTIATION_ID_DIFF,0)))</f>
        <v>Территория 1</v>
      </c>
      <c r="J10" s="2416"/>
      <c r="K10" s="2219"/>
      <c r="U10" s="682"/>
      <c r="V10" s="765">
        <v>15</v>
      </c>
    </row>
    <row s="1642" customFormat="1" customHeight="1" ht="15.75">
      <c r="A11" s="766"/>
      <c r="C11" s="183"/>
      <c r="D11" s="718"/>
      <c r="E11" s="2387" t="s">
        <v>564</v>
      </c>
      <c r="F11" s="2388"/>
      <c r="G11" s="2415" t="str">
        <f>IF(G8="","",INDEX(DIFFERENTIATION_UNMERGE_SYSTEM,MATCH(G8,DIFFERENTIATION_ID_DIFF,0)))</f>
        <v/>
      </c>
      <c r="H11" s="2416"/>
      <c r="I11" s="2415" t="str">
        <f>IF(I8="","",INDEX(DIFFERENTIATION_UNMERGE_SYSTEM,MATCH(I8,DIFFERENTIATION_ID_DIFF,0)))</f>
        <v>без дифференциации</v>
      </c>
      <c r="J11" s="2416"/>
      <c r="K11" s="2219"/>
      <c r="U11" s="682"/>
      <c r="V11" s="765">
        <v>15</v>
      </c>
    </row>
    <row s="1642" customFormat="1" customHeight="1" ht="15.75">
      <c r="A12" s="766"/>
      <c r="C12" s="183"/>
      <c r="D12" s="2389" t="s">
        <v>299</v>
      </c>
      <c r="E12" s="2390"/>
      <c r="F12" s="2390"/>
      <c r="G12" s="894"/>
      <c r="H12" s="894"/>
      <c r="I12" s="894"/>
      <c r="J12" s="894"/>
      <c r="K12" s="2219"/>
      <c r="U12" s="682"/>
      <c r="V12" s="765">
        <v>15</v>
      </c>
    </row>
    <row customHeight="1" ht="35.699999999999996">
      <c r="C13" s="183"/>
      <c r="D13" s="812" t="s">
        <v>87</v>
      </c>
      <c r="E13" s="814" t="s">
        <v>301</v>
      </c>
      <c r="F13" s="814" t="s">
        <v>565</v>
      </c>
      <c r="G13" s="815" t="s">
        <v>302</v>
      </c>
      <c r="H13" s="814" t="s">
        <v>389</v>
      </c>
      <c r="I13" s="815" t="s">
        <v>302</v>
      </c>
      <c r="J13" s="814" t="s">
        <v>389</v>
      </c>
      <c r="K13" s="2252"/>
      <c r="V13" s="512">
        <v>34</v>
      </c>
    </row>
    <row customHeight="1" ht="15" hidden="1">
      <c r="C14" s="183"/>
      <c r="D14" s="600" t="s">
        <v>109</v>
      </c>
      <c r="E14" s="600" t="s">
        <v>110</v>
      </c>
      <c r="F14" s="600" t="s">
        <v>89</v>
      </c>
      <c r="G14" s="666" t="str">
        <f>G1&amp;".1"</f>
        <v>4.1</v>
      </c>
      <c r="H14" s="666"/>
      <c r="I14" s="666" t="str">
        <f>I1&amp;".1"</f>
        <v>4.1</v>
      </c>
      <c r="J14" s="666"/>
      <c r="K14" s="296"/>
      <c r="V14" s="512">
        <v>0</v>
      </c>
    </row>
    <row customHeight="1" ht="22.5" hidden="1">
      <c r="A15" s="512"/>
      <c r="C15" s="533"/>
      <c r="D15" s="528">
        <v>1</v>
      </c>
      <c r="E15" s="684" t="s">
        <v>855</v>
      </c>
      <c r="F15" s="528" t="s">
        <v>856</v>
      </c>
      <c r="G15" s="685"/>
      <c r="H15" s="685"/>
      <c r="I15" s="685"/>
      <c r="J15" s="685"/>
      <c r="K15" s="296" t="s">
        <v>857</v>
      </c>
      <c r="V15" s="512">
        <v>0</v>
      </c>
    </row>
    <row customHeight="1" ht="22.5" hidden="1">
      <c r="A16" s="512"/>
      <c r="C16" s="533"/>
      <c r="D16" s="528">
        <v>2</v>
      </c>
      <c r="E16" s="286" t="s">
        <v>858</v>
      </c>
      <c r="F16" s="528" t="s">
        <v>859</v>
      </c>
      <c r="G16" s="685"/>
      <c r="H16" s="685"/>
      <c r="I16" s="685"/>
      <c r="J16" s="685"/>
      <c r="K16" s="296" t="s">
        <v>860</v>
      </c>
      <c r="V16" s="512">
        <v>0</v>
      </c>
    </row>
    <row customHeight="1" ht="123.75" hidden="1">
      <c r="A17" s="512"/>
      <c r="C17" s="533"/>
      <c r="D17" s="528">
        <v>3</v>
      </c>
      <c r="E17" s="286" t="s">
        <v>1254</v>
      </c>
      <c r="F17" s="528" t="s">
        <v>305</v>
      </c>
      <c r="G17" s="685"/>
      <c r="H17" s="685"/>
      <c r="I17" s="685"/>
      <c r="J17" s="685"/>
      <c r="K17" s="296" t="s">
        <v>1255</v>
      </c>
      <c r="V17" s="512">
        <v>0</v>
      </c>
    </row>
    <row customHeight="1" ht="48.29999999999999">
      <c r="A18" s="512"/>
      <c r="C18" s="533"/>
      <c r="D18" s="528">
        <v>3</v>
      </c>
      <c r="E18" s="286" t="s">
        <v>861</v>
      </c>
      <c r="F18" s="528" t="s">
        <v>305</v>
      </c>
      <c r="G18" s="816" t="s">
        <v>305</v>
      </c>
      <c r="H18" s="817" t="s">
        <v>305</v>
      </c>
      <c r="I18" s="528" t="s">
        <v>305</v>
      </c>
      <c r="J18" s="585" t="s">
        <v>305</v>
      </c>
      <c r="K18" s="296" t="s">
        <v>1256</v>
      </c>
      <c r="V18" s="512">
        <v>46</v>
      </c>
    </row>
    <row customHeight="1" ht="35.699999999999996">
      <c r="A19" s="512"/>
      <c r="C19" s="533"/>
      <c r="D19" s="546" t="s">
        <v>323</v>
      </c>
      <c r="E19" s="566" t="s">
        <v>863</v>
      </c>
      <c r="F19" s="528" t="s">
        <v>864</v>
      </c>
      <c r="G19" s="824"/>
      <c r="H19" s="113"/>
      <c r="I19" s="824"/>
      <c r="J19" s="825"/>
      <c r="K19" s="686"/>
      <c r="V19" s="512">
        <v>34</v>
      </c>
    </row>
    <row customHeight="1" ht="35.699999999999996">
      <c r="A20" s="512"/>
      <c r="C20" s="533"/>
      <c r="D20" s="1894" t="s">
        <v>331</v>
      </c>
      <c r="E20" s="566" t="s">
        <v>865</v>
      </c>
      <c r="F20" s="528" t="s">
        <v>866</v>
      </c>
      <c r="G20" s="824"/>
      <c r="H20" s="113"/>
      <c r="I20" s="824"/>
      <c r="J20" s="113"/>
      <c r="K20" s="686"/>
      <c r="V20" s="512">
        <v>34</v>
      </c>
    </row>
    <row customHeight="1" ht="48.29999999999999">
      <c r="A21" s="512"/>
      <c r="C21" s="533"/>
      <c r="D21" s="1894" t="s">
        <v>333</v>
      </c>
      <c r="E21" s="566" t="s">
        <v>867</v>
      </c>
      <c r="F21" s="528" t="s">
        <v>570</v>
      </c>
      <c r="G21" s="687"/>
      <c r="H21" s="113"/>
      <c r="I21" s="687"/>
      <c r="J21" s="113"/>
      <c r="K21" s="686"/>
      <c r="V21" s="512">
        <v>46</v>
      </c>
    </row>
    <row customHeight="1" ht="67.5" hidden="1">
      <c r="A22" s="512"/>
      <c r="C22" s="533"/>
      <c r="D22" s="528">
        <v>5</v>
      </c>
      <c r="E22" s="286" t="s">
        <v>1257</v>
      </c>
      <c r="F22" s="528" t="s">
        <v>557</v>
      </c>
      <c r="G22" s="688"/>
      <c r="H22" s="689"/>
      <c r="I22" s="688"/>
      <c r="J22" s="689"/>
      <c r="K22" s="296" t="s">
        <v>1258</v>
      </c>
      <c r="V22" s="512">
        <v>0</v>
      </c>
    </row>
    <row customHeight="1" ht="33.75" hidden="1">
      <c r="C23" s="458"/>
      <c r="D23" s="528">
        <v>6</v>
      </c>
      <c r="E23" s="286" t="s">
        <v>1259</v>
      </c>
      <c r="F23" s="528" t="s">
        <v>1260</v>
      </c>
      <c r="G23" s="688"/>
      <c r="H23" s="688"/>
      <c r="I23" s="688"/>
      <c r="J23" s="688"/>
      <c r="K23" s="296" t="s">
        <v>1261</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81</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6E0FC6-922B-850B-4D6F-0.2AED4A7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4" width="11.00390625" customWidth="1"/>
    <col min="3" max="3" style="1854" width="9.140625"/>
    <col min="4" max="4" style="1854"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8" style="1073" width="34.57421875" customWidth="1"/>
    <col min="59" max="59" style="1829"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4" customFormat="1" customHeight="1" ht="11.25">
      <c r="A1" s="1074" t="s">
        <v>1262</v>
      </c>
      <c r="B1" s="1074" t="s">
        <v>1263</v>
      </c>
      <c r="C1" s="1074" t="s">
        <v>1264</v>
      </c>
      <c r="D1" s="1074" t="s">
        <v>1265</v>
      </c>
      <c r="E1" s="1074" t="s">
        <v>1266</v>
      </c>
      <c r="F1" s="1074" t="s">
        <v>1267</v>
      </c>
      <c r="G1" s="1074" t="s">
        <v>1268</v>
      </c>
      <c r="H1" s="1074" t="s">
        <v>1269</v>
      </c>
      <c r="I1" s="1074" t="s">
        <v>1270</v>
      </c>
      <c r="J1" s="1074" t="s">
        <v>1271</v>
      </c>
      <c r="K1" s="1074" t="s">
        <v>1272</v>
      </c>
      <c r="L1" s="1074" t="s">
        <v>1273</v>
      </c>
      <c r="M1" s="1074"/>
      <c r="N1" s="1074" t="s">
        <v>1274</v>
      </c>
      <c r="O1" s="1074" t="s">
        <v>1275</v>
      </c>
      <c r="P1" s="1074" t="s">
        <v>1276</v>
      </c>
      <c r="Q1" s="1074" t="s">
        <v>1277</v>
      </c>
      <c r="R1" s="1074" t="s">
        <v>1278</v>
      </c>
      <c r="S1" s="1074" t="s">
        <v>1279</v>
      </c>
      <c r="T1" s="1074" t="s">
        <v>1280</v>
      </c>
      <c r="U1" s="1074" t="s">
        <v>1281</v>
      </c>
      <c r="V1" s="1074"/>
      <c r="W1" s="804" t="s">
        <v>1282</v>
      </c>
      <c r="X1" s="1074" t="s">
        <v>1283</v>
      </c>
      <c r="Y1" s="1074" t="s">
        <v>1284</v>
      </c>
      <c r="Z1" s="1074"/>
      <c r="AA1" s="1074" t="s">
        <v>1285</v>
      </c>
      <c r="AB1" s="1074"/>
      <c r="AC1" s="1074" t="s">
        <v>1286</v>
      </c>
      <c r="AD1" s="1074"/>
      <c r="AF1" s="1074" t="s">
        <v>1287</v>
      </c>
      <c r="AH1" s="1074" t="s">
        <v>1288</v>
      </c>
      <c r="AI1" s="1074" t="s">
        <v>1289</v>
      </c>
      <c r="AK1" s="1074" t="s">
        <v>1290</v>
      </c>
      <c r="AM1" s="1074" t="s">
        <v>1291</v>
      </c>
      <c r="AP1" s="1074" t="s">
        <v>1292</v>
      </c>
      <c r="AQ1" s="1074" t="s">
        <v>1293</v>
      </c>
      <c r="AS1" s="1074" t="s">
        <v>1294</v>
      </c>
      <c r="AU1" s="1074" t="s">
        <v>1295</v>
      </c>
      <c r="AW1" s="1074" t="s">
        <v>1296</v>
      </c>
      <c r="AX1" s="1074" t="s">
        <v>1297</v>
      </c>
      <c r="AZ1" s="1159" t="s">
        <v>1298</v>
      </c>
      <c r="BB1" s="1074" t="s">
        <v>1299</v>
      </c>
      <c r="BC1" s="1074"/>
      <c r="BE1" s="1074" t="s">
        <v>1300</v>
      </c>
      <c r="BF1" s="1074" t="s">
        <v>1301</v>
      </c>
      <c r="BH1" s="1076" t="s">
        <v>854</v>
      </c>
      <c r="BI1" s="1077"/>
      <c r="BJ1" s="1078" t="s">
        <v>1302</v>
      </c>
      <c r="BK1" s="1077"/>
      <c r="BL1" s="1079" t="s">
        <v>954</v>
      </c>
      <c r="BM1" s="1077"/>
      <c r="BN1" s="1080" t="s">
        <v>1303</v>
      </c>
      <c r="BS1" s="1434"/>
    </row>
    <row customHeight="1" ht="11.25">
      <c r="A2" s="1081" t="s">
        <v>1304</v>
      </c>
      <c r="B2" s="1082">
        <v>2000</v>
      </c>
      <c r="C2" s="1082">
        <v>2022</v>
      </c>
      <c r="D2" s="1082" t="s">
        <v>61</v>
      </c>
      <c r="E2" s="1083" t="s">
        <v>1305</v>
      </c>
      <c r="F2" s="1083" t="s">
        <v>1306</v>
      </c>
      <c r="G2" s="1083" t="s">
        <v>1307</v>
      </c>
      <c r="H2" s="1084" t="s">
        <v>53</v>
      </c>
      <c r="I2" s="1083" t="s">
        <v>109</v>
      </c>
      <c r="J2" s="1083" t="s">
        <v>1308</v>
      </c>
      <c r="K2" s="1085" t="s">
        <v>1309</v>
      </c>
      <c r="L2" s="1086"/>
      <c r="M2" s="1085">
        <v>1</v>
      </c>
      <c r="N2" s="1169" t="s">
        <v>1310</v>
      </c>
      <c r="O2" s="1084" t="s">
        <v>1311</v>
      </c>
      <c r="P2" s="1087" t="s">
        <v>37</v>
      </c>
      <c r="Q2" s="1088" t="s">
        <v>1312</v>
      </c>
      <c r="R2" s="150" t="s">
        <v>1313</v>
      </c>
      <c r="S2" s="150" t="s">
        <v>1314</v>
      </c>
      <c r="T2" s="1089" t="s">
        <v>1315</v>
      </c>
      <c r="U2" s="1086" t="s">
        <v>1316</v>
      </c>
      <c r="V2" s="1090">
        <v>1</v>
      </c>
      <c r="W2" s="1091"/>
      <c r="X2" s="1091" t="s">
        <v>1317</v>
      </c>
      <c r="Y2" s="1082" t="s">
        <v>1318</v>
      </c>
      <c r="Z2" s="1092"/>
      <c r="AA2" s="1082" t="s">
        <v>1319</v>
      </c>
      <c r="AB2" s="1093" t="s">
        <v>1319</v>
      </c>
      <c r="AC2" s="1082" t="s">
        <v>1320</v>
      </c>
      <c r="AD2" s="1093" t="s">
        <v>1320</v>
      </c>
      <c r="AF2" s="1084" t="s">
        <v>1316</v>
      </c>
      <c r="AH2" s="1083" t="s">
        <v>1321</v>
      </c>
      <c r="AI2" s="1083" t="s">
        <v>1321</v>
      </c>
      <c r="AK2" s="1083" t="s">
        <v>1322</v>
      </c>
      <c r="AM2" s="1083" t="s">
        <v>1323</v>
      </c>
      <c r="AP2" s="1094" t="s">
        <v>1317</v>
      </c>
      <c r="AQ2" s="1095" t="s">
        <v>1317</v>
      </c>
      <c r="AS2" s="1082" t="s">
        <v>1324</v>
      </c>
      <c r="AU2" s="1127" t="s">
        <v>1325</v>
      </c>
      <c r="AW2" s="1127" t="s">
        <v>1326</v>
      </c>
      <c r="AX2" s="1127" t="s">
        <v>1326</v>
      </c>
      <c r="AZ2" s="1127" t="s">
        <v>1327</v>
      </c>
      <c r="BB2" s="1127" t="s">
        <v>1328</v>
      </c>
      <c r="BC2" s="1127" t="s">
        <v>1329</v>
      </c>
      <c r="BE2" s="2092" t="s">
        <v>1092</v>
      </c>
      <c r="BF2" s="2092" t="s">
        <v>1092</v>
      </c>
    </row>
    <row customHeight="1" ht="11.25">
      <c r="A3" s="1081" t="s">
        <v>1330</v>
      </c>
      <c r="B3" s="1082">
        <v>2001</v>
      </c>
      <c r="C3" s="1082">
        <v>2023</v>
      </c>
      <c r="D3" s="1082" t="s">
        <v>19</v>
      </c>
      <c r="E3" s="1083" t="s">
        <v>1331</v>
      </c>
      <c r="F3" s="1083" t="s">
        <v>1332</v>
      </c>
      <c r="G3" s="1083" t="s">
        <v>1333</v>
      </c>
      <c r="H3" s="1084" t="s">
        <v>1334</v>
      </c>
      <c r="I3" s="1083" t="s">
        <v>110</v>
      </c>
      <c r="J3" s="1083" t="s">
        <v>555</v>
      </c>
      <c r="K3" s="1085" t="s">
        <v>1335</v>
      </c>
      <c r="L3" s="1086">
        <f>_xlfn.IFERROR(MATCH(K3,OFFER_METHOD,0),0)</f>
        <v>0</v>
      </c>
      <c r="M3" s="1085">
        <v>2</v>
      </c>
      <c r="N3" s="1169" t="s">
        <v>1336</v>
      </c>
      <c r="O3" s="1084" t="s">
        <v>1337</v>
      </c>
      <c r="P3" s="1087" t="s">
        <v>1338</v>
      </c>
      <c r="Q3" s="1088" t="s">
        <v>1339</v>
      </c>
      <c r="R3" s="150" t="s">
        <v>1340</v>
      </c>
      <c r="S3" s="150" t="s">
        <v>1341</v>
      </c>
      <c r="T3" s="1089" t="s">
        <v>1342</v>
      </c>
      <c r="U3" s="1086" t="s">
        <v>1343</v>
      </c>
      <c r="V3" s="1090">
        <v>2</v>
      </c>
      <c r="W3" s="1091"/>
      <c r="X3" s="1091" t="s">
        <v>1344</v>
      </c>
      <c r="Y3" s="1082" t="s">
        <v>1318</v>
      </c>
      <c r="Z3" s="1092"/>
      <c r="AA3" s="1082" t="s">
        <v>1345</v>
      </c>
      <c r="AB3" s="1093" t="s">
        <v>1345</v>
      </c>
      <c r="AC3" s="1082" t="s">
        <v>1346</v>
      </c>
      <c r="AD3" s="1093" t="s">
        <v>1346</v>
      </c>
      <c r="AF3" s="1084" t="s">
        <v>1343</v>
      </c>
      <c r="AH3" s="1083" t="s">
        <v>1347</v>
      </c>
      <c r="AI3" s="1083" t="s">
        <v>1348</v>
      </c>
      <c r="AK3" s="1083" t="s">
        <v>1349</v>
      </c>
      <c r="AM3" s="1083" t="s">
        <v>1350</v>
      </c>
      <c r="AP3" s="1094" t="s">
        <v>1351</v>
      </c>
      <c r="AQ3" s="1095" t="s">
        <v>1351</v>
      </c>
      <c r="AS3" s="1082" t="s">
        <v>1352</v>
      </c>
      <c r="AU3" s="1127" t="s">
        <v>1353</v>
      </c>
      <c r="AW3" s="1127" t="s">
        <v>1354</v>
      </c>
      <c r="AX3" s="1127" t="s">
        <v>1354</v>
      </c>
      <c r="AZ3" s="1127" t="s">
        <v>1355</v>
      </c>
      <c r="BB3" s="1127" t="s">
        <v>1356</v>
      </c>
      <c r="BC3" s="1127" t="s">
        <v>1329</v>
      </c>
      <c r="BE3" s="2092" t="s">
        <v>1079</v>
      </c>
      <c r="BF3" s="2092" t="s">
        <v>1079</v>
      </c>
      <c r="BH3" s="1074" t="s">
        <v>1357</v>
      </c>
      <c r="BJ3" s="1074" t="s">
        <v>1358</v>
      </c>
      <c r="BL3" s="1074" t="s">
        <v>1359</v>
      </c>
      <c r="BN3" s="1074" t="s">
        <v>1360</v>
      </c>
      <c r="BR3" s="1074" t="s">
        <v>1361</v>
      </c>
      <c r="BS3" s="1435"/>
      <c r="BT3" s="1077"/>
      <c r="BU3" s="1074" t="s">
        <v>1362</v>
      </c>
      <c r="BV3" s="1077"/>
      <c r="BW3" s="1696"/>
      <c r="BX3" s="1698" t="s">
        <v>1363</v>
      </c>
      <c r="CA3" s="1074" t="s">
        <v>1364</v>
      </c>
    </row>
    <row customHeight="1" ht="11.25">
      <c r="A4" s="1081" t="s">
        <v>1365</v>
      </c>
      <c r="B4" s="1082">
        <v>2002</v>
      </c>
      <c r="C4" s="1082">
        <v>2024</v>
      </c>
      <c r="E4" s="1083" t="s">
        <v>1366</v>
      </c>
      <c r="F4" s="1083" t="s">
        <v>1367</v>
      </c>
      <c r="H4" s="1084" t="s">
        <v>1368</v>
      </c>
      <c r="I4" s="1083" t="s">
        <v>89</v>
      </c>
      <c r="J4" s="1083" t="s">
        <v>1369</v>
      </c>
      <c r="K4" s="1085" t="s">
        <v>1370</v>
      </c>
      <c r="L4" s="1086">
        <f>_xlfn.IFERROR(MATCH(K4,OFFER_METHOD,0),0)</f>
        <v>0</v>
      </c>
      <c r="M4" s="1085">
        <v>3</v>
      </c>
      <c r="N4" s="1169" t="s">
        <v>1371</v>
      </c>
      <c r="O4" s="1083" t="s">
        <v>1372</v>
      </c>
      <c r="Q4" s="1088" t="s">
        <v>1373</v>
      </c>
      <c r="R4" s="150" t="s">
        <v>1374</v>
      </c>
      <c r="S4" s="150" t="s">
        <v>1375</v>
      </c>
      <c r="T4" s="1089" t="s">
        <v>1376</v>
      </c>
      <c r="U4" s="1086" t="s">
        <v>1377</v>
      </c>
      <c r="V4" s="1090">
        <v>3</v>
      </c>
      <c r="W4" s="1091"/>
      <c r="X4" s="1091" t="s">
        <v>1378</v>
      </c>
      <c r="Y4" s="1082" t="s">
        <v>1318</v>
      </c>
      <c r="Z4" s="1098"/>
      <c r="AC4" s="1082" t="s">
        <v>1379</v>
      </c>
      <c r="AD4" s="1093" t="s">
        <v>1379</v>
      </c>
      <c r="AF4" s="1084" t="s">
        <v>1377</v>
      </c>
      <c r="AH4" s="1084" t="s">
        <v>1380</v>
      </c>
      <c r="AK4" s="1083" t="s">
        <v>1381</v>
      </c>
      <c r="AM4" s="1083" t="s">
        <v>1382</v>
      </c>
      <c r="AP4" s="1094" t="s">
        <v>1344</v>
      </c>
      <c r="AQ4" s="1095" t="s">
        <v>1344</v>
      </c>
      <c r="AS4" s="1082" t="s">
        <v>1383</v>
      </c>
      <c r="AU4" s="1127" t="s">
        <v>1384</v>
      </c>
      <c r="AW4" s="1127" t="s">
        <v>1385</v>
      </c>
      <c r="AX4" s="1127" t="s">
        <v>1385</v>
      </c>
      <c r="AZ4" s="1127" t="s">
        <v>1386</v>
      </c>
      <c r="BB4" s="1127" t="s">
        <v>1387</v>
      </c>
      <c r="BC4" s="1127" t="s">
        <v>1388</v>
      </c>
      <c r="BE4" s="1127">
        <v>2000</v>
      </c>
      <c r="BF4" s="1127" t="s">
        <v>1389</v>
      </c>
      <c r="BH4" s="1075" t="s">
        <v>1390</v>
      </c>
      <c r="BJ4" s="1075" t="s">
        <v>1390</v>
      </c>
      <c r="BL4" s="1075" t="s">
        <v>1390</v>
      </c>
      <c r="BN4" s="1075" t="s">
        <v>1390</v>
      </c>
      <c r="BQ4" s="1439" t="s">
        <v>1391</v>
      </c>
      <c r="BR4" s="1166" t="s">
        <v>1392</v>
      </c>
      <c r="BS4" s="281"/>
      <c r="BT4" s="1439" t="s">
        <v>1393</v>
      </c>
      <c r="BU4" s="1166" t="s">
        <v>1394</v>
      </c>
      <c r="BV4" s="1077"/>
      <c r="BW4" s="1703" t="s">
        <v>1395</v>
      </c>
      <c r="BX4" s="1697" t="s">
        <v>1396</v>
      </c>
      <c r="BZ4" s="1439" t="s">
        <v>1397</v>
      </c>
      <c r="CA4" s="1166" t="s">
        <v>1398</v>
      </c>
    </row>
    <row customHeight="1" ht="11.25">
      <c r="A5" s="1081" t="s">
        <v>1399</v>
      </c>
      <c r="B5" s="1082">
        <v>2003</v>
      </c>
      <c r="C5" s="1082">
        <v>2025</v>
      </c>
      <c r="E5" s="1083" t="s">
        <v>1400</v>
      </c>
      <c r="F5" s="1083" t="s">
        <v>1401</v>
      </c>
      <c r="H5" s="1084" t="s">
        <v>1402</v>
      </c>
      <c r="I5" s="1083" t="s">
        <v>90</v>
      </c>
      <c r="K5" s="1085" t="s">
        <v>1403</v>
      </c>
      <c r="L5" s="1086">
        <f>_xlfn.IFERROR(MATCH(K5,OFFER_METHOD,0),0)</f>
        <v>0</v>
      </c>
      <c r="M5" s="1085">
        <v>4</v>
      </c>
      <c r="N5" s="1099" t="s">
        <v>1404</v>
      </c>
      <c r="O5" s="1083" t="s">
        <v>1405</v>
      </c>
      <c r="Q5" s="1088" t="s">
        <v>1406</v>
      </c>
      <c r="R5" s="150" t="s">
        <v>1407</v>
      </c>
      <c r="T5" s="1084" t="s">
        <v>1408</v>
      </c>
      <c r="U5" s="1086" t="s">
        <v>1409</v>
      </c>
      <c r="V5" s="1090">
        <v>4</v>
      </c>
      <c r="W5" s="1091"/>
      <c r="X5" s="1091" t="s">
        <v>167</v>
      </c>
      <c r="Y5" s="1082" t="s">
        <v>1410</v>
      </c>
      <c r="Z5" s="1098">
        <v>1</v>
      </c>
      <c r="AF5" s="1084" t="s">
        <v>1411</v>
      </c>
      <c r="AH5" s="1083" t="s">
        <v>1412</v>
      </c>
      <c r="AK5" s="1083" t="s">
        <v>1413</v>
      </c>
      <c r="AM5" s="1083" t="s">
        <v>1414</v>
      </c>
      <c r="AP5" s="1094" t="s">
        <v>167</v>
      </c>
      <c r="AQ5" s="1095" t="s">
        <v>167</v>
      </c>
      <c r="AU5" s="1127" t="s">
        <v>1415</v>
      </c>
      <c r="AW5" s="1127" t="s">
        <v>1416</v>
      </c>
      <c r="AX5" s="1127" t="s">
        <v>1416</v>
      </c>
      <c r="AZ5" s="1127" t="s">
        <v>1417</v>
      </c>
      <c r="BB5" s="1127" t="s">
        <v>1418</v>
      </c>
      <c r="BC5" s="1127" t="s">
        <v>1419</v>
      </c>
      <c r="BE5" s="1127">
        <v>2001</v>
      </c>
      <c r="BF5" s="1127" t="s">
        <v>1420</v>
      </c>
      <c r="BH5" s="1075" t="s">
        <v>1421</v>
      </c>
      <c r="BJ5" s="1075" t="s">
        <v>1421</v>
      </c>
      <c r="BL5" s="1075" t="s">
        <v>1421</v>
      </c>
      <c r="BN5" s="1075" t="s">
        <v>1422</v>
      </c>
      <c r="BQ5" s="1288">
        <v>4213775</v>
      </c>
      <c r="BR5" s="1075" t="s">
        <v>1317</v>
      </c>
      <c r="BS5" s="1436"/>
      <c r="BT5" s="1288">
        <v>64236871</v>
      </c>
      <c r="BU5" s="1075" t="s">
        <v>228</v>
      </c>
      <c r="BV5" s="1077"/>
      <c r="BW5" s="1701">
        <v>4213767</v>
      </c>
      <c r="BX5" s="1699" t="s">
        <v>1423</v>
      </c>
      <c r="BZ5" s="1288">
        <v>64237509</v>
      </c>
      <c r="CA5" s="1302" t="s">
        <v>1424</v>
      </c>
    </row>
    <row customHeight="1" ht="11.25">
      <c r="A6" s="1081" t="s">
        <v>1425</v>
      </c>
      <c r="B6" s="1082">
        <v>2004</v>
      </c>
      <c r="C6" s="1082">
        <v>2026</v>
      </c>
      <c r="E6" s="1083" t="s">
        <v>1426</v>
      </c>
      <c r="F6" s="1100"/>
      <c r="H6" s="1084" t="s">
        <v>1427</v>
      </c>
      <c r="I6" s="1083" t="s">
        <v>111</v>
      </c>
      <c r="J6" s="1074" t="s">
        <v>1428</v>
      </c>
      <c r="L6" s="1086">
        <f>SUM(kind_of_control_method_filter)</f>
        <v>0</v>
      </c>
      <c r="N6" s="1099" t="s">
        <v>1429</v>
      </c>
      <c r="O6" s="1083" t="s">
        <v>1430</v>
      </c>
      <c r="R6" s="150" t="s">
        <v>1312</v>
      </c>
      <c r="T6" s="1084" t="s">
        <v>1431</v>
      </c>
      <c r="U6" s="1086" t="s">
        <v>1411</v>
      </c>
      <c r="V6" s="1090">
        <v>5</v>
      </c>
      <c r="W6" s="1091"/>
      <c r="X6" s="1082" t="s">
        <v>173</v>
      </c>
      <c r="Y6" s="1082" t="s">
        <v>1432</v>
      </c>
      <c r="Z6" s="1098"/>
      <c r="AA6" s="1101"/>
      <c r="AH6" s="1083" t="s">
        <v>1433</v>
      </c>
      <c r="AK6" s="1083" t="s">
        <v>1434</v>
      </c>
      <c r="AM6" s="1083" t="s">
        <v>1435</v>
      </c>
      <c r="AP6" s="1094" t="s">
        <v>173</v>
      </c>
      <c r="AQ6" s="1095" t="s">
        <v>173</v>
      </c>
      <c r="AU6" s="1127" t="s">
        <v>1436</v>
      </c>
      <c r="AW6" s="1127" t="s">
        <v>1437</v>
      </c>
      <c r="AX6" s="1127" t="s">
        <v>1437</v>
      </c>
      <c r="BB6" s="1127" t="s">
        <v>1438</v>
      </c>
      <c r="BC6" s="1127" t="s">
        <v>1419</v>
      </c>
      <c r="BE6" s="1127">
        <v>2002</v>
      </c>
      <c r="BF6" s="1127" t="s">
        <v>1439</v>
      </c>
      <c r="BH6" s="1075" t="s">
        <v>1440</v>
      </c>
      <c r="BJ6" s="1075" t="s">
        <v>1441</v>
      </c>
      <c r="BL6" s="1075" t="s">
        <v>1441</v>
      </c>
      <c r="BN6" s="1075" t="s">
        <v>1442</v>
      </c>
      <c r="BQ6" s="1288">
        <v>4213784</v>
      </c>
      <c r="BR6" s="1302" t="s">
        <v>1351</v>
      </c>
      <c r="BS6" s="1437"/>
      <c r="BT6" s="1288">
        <v>64236872</v>
      </c>
      <c r="BU6" s="1075" t="s">
        <v>233</v>
      </c>
      <c r="BV6" s="1077"/>
      <c r="BW6" s="1701">
        <v>4213768</v>
      </c>
      <c r="BX6" s="1699" t="s">
        <v>253</v>
      </c>
      <c r="BZ6" s="1288">
        <v>64237510</v>
      </c>
      <c r="CA6" s="1075" t="s">
        <v>1443</v>
      </c>
    </row>
    <row customHeight="1" ht="11.25">
      <c r="A7" s="1081" t="s">
        <v>1444</v>
      </c>
      <c r="B7" s="1082">
        <v>2005</v>
      </c>
      <c r="E7" s="1083" t="s">
        <v>1445</v>
      </c>
      <c r="F7" s="1100"/>
      <c r="H7" s="1084" t="s">
        <v>1446</v>
      </c>
      <c r="I7" s="1083" t="s">
        <v>91</v>
      </c>
      <c r="J7" s="1083" t="s">
        <v>1447</v>
      </c>
      <c r="N7" s="1103" t="s">
        <v>1448</v>
      </c>
      <c r="O7" s="1083" t="s">
        <v>1449</v>
      </c>
      <c r="U7" s="1086" t="s">
        <v>19</v>
      </c>
      <c r="V7" s="377" t="s">
        <v>91</v>
      </c>
      <c r="W7" s="1091"/>
      <c r="X7" s="1082" t="s">
        <v>179</v>
      </c>
      <c r="Y7" s="1082" t="s">
        <v>1410</v>
      </c>
      <c r="Z7" s="1098"/>
      <c r="AA7" s="1101"/>
      <c r="AH7" s="1083" t="s">
        <v>1450</v>
      </c>
      <c r="AK7" s="1083" t="s">
        <v>1451</v>
      </c>
      <c r="AM7" s="1083" t="s">
        <v>1452</v>
      </c>
      <c r="AP7" s="1094" t="s">
        <v>179</v>
      </c>
      <c r="AQ7" s="1095" t="s">
        <v>179</v>
      </c>
      <c r="AU7" s="1127" t="s">
        <v>1453</v>
      </c>
      <c r="AW7" s="1127" t="s">
        <v>1454</v>
      </c>
      <c r="AX7" s="1127" t="s">
        <v>1454</v>
      </c>
      <c r="AZ7" s="1074" t="s">
        <v>1455</v>
      </c>
      <c r="BB7" s="1127" t="s">
        <v>1456</v>
      </c>
      <c r="BC7" s="1127" t="s">
        <v>1419</v>
      </c>
      <c r="BE7" s="1127">
        <v>2003</v>
      </c>
      <c r="BF7" s="1127" t="s">
        <v>1457</v>
      </c>
      <c r="BH7" s="1075" t="s">
        <v>1458</v>
      </c>
      <c r="BJ7" s="1075" t="s">
        <v>1440</v>
      </c>
      <c r="BL7" s="1075" t="s">
        <v>1440</v>
      </c>
      <c r="BN7" s="1075" t="s">
        <v>1459</v>
      </c>
      <c r="BQ7" s="1288">
        <v>4213781</v>
      </c>
      <c r="BR7" s="1075" t="s">
        <v>1344</v>
      </c>
      <c r="BS7" s="1436"/>
      <c r="BT7" s="1288">
        <v>64236873</v>
      </c>
      <c r="BU7" s="1075" t="s">
        <v>238</v>
      </c>
      <c r="BV7" s="1077"/>
      <c r="BW7" s="1701">
        <v>4213769</v>
      </c>
      <c r="BX7" s="1699" t="s">
        <v>1460</v>
      </c>
      <c r="BZ7" s="1288">
        <v>64237511</v>
      </c>
      <c r="CA7" s="1075" t="s">
        <v>268</v>
      </c>
    </row>
    <row customHeight="1" ht="11.25">
      <c r="A8" s="1081" t="s">
        <v>1461</v>
      </c>
      <c r="B8" s="1082">
        <v>2006</v>
      </c>
      <c r="E8" s="1083" t="s">
        <v>1462</v>
      </c>
      <c r="F8" s="1100"/>
      <c r="H8" s="1084" t="s">
        <v>1463</v>
      </c>
      <c r="I8" s="1083" t="s">
        <v>92</v>
      </c>
      <c r="J8" s="1083" t="s">
        <v>1464</v>
      </c>
      <c r="N8" s="1170" t="s">
        <v>1465</v>
      </c>
      <c r="O8" s="1083" t="s">
        <v>1466</v>
      </c>
      <c r="V8" s="377" t="s">
        <v>92</v>
      </c>
      <c r="W8" s="1091"/>
      <c r="X8" s="1082" t="s">
        <v>185</v>
      </c>
      <c r="Y8" s="1082" t="s">
        <v>1410</v>
      </c>
      <c r="Z8" s="1098"/>
      <c r="AA8" s="1101"/>
      <c r="AK8" s="1083" t="s">
        <v>1467</v>
      </c>
      <c r="AP8" s="1094" t="s">
        <v>185</v>
      </c>
      <c r="AQ8" s="1095" t="s">
        <v>185</v>
      </c>
      <c r="AU8" s="1127" t="s">
        <v>1468</v>
      </c>
      <c r="AW8" s="1127" t="s">
        <v>1469</v>
      </c>
      <c r="AX8" s="1127" t="s">
        <v>1469</v>
      </c>
      <c r="AZ8" s="1127" t="s">
        <v>66</v>
      </c>
      <c r="BB8" s="1127" t="s">
        <v>1470</v>
      </c>
      <c r="BC8" s="1127" t="s">
        <v>1419</v>
      </c>
      <c r="BE8" s="1127">
        <v>2004</v>
      </c>
      <c r="BF8" s="1127" t="s">
        <v>1471</v>
      </c>
      <c r="BH8" s="1075" t="s">
        <v>1472</v>
      </c>
      <c r="BJ8" s="1075" t="s">
        <v>1473</v>
      </c>
      <c r="BL8" s="1075" t="s">
        <v>1473</v>
      </c>
      <c r="BN8" s="1075" t="s">
        <v>1474</v>
      </c>
      <c r="BQ8" s="1288">
        <v>4213776</v>
      </c>
      <c r="BR8" s="1075" t="s">
        <v>167</v>
      </c>
      <c r="BS8" s="1436"/>
      <c r="BT8" s="1288">
        <v>64236874</v>
      </c>
      <c r="BU8" s="1302" t="s">
        <v>1475</v>
      </c>
      <c r="BV8" s="1077"/>
      <c r="BW8" s="1701">
        <v>4213770</v>
      </c>
      <c r="BX8" s="1702" t="s">
        <v>1476</v>
      </c>
      <c r="BZ8" s="1288">
        <v>64237512</v>
      </c>
      <c r="CA8" s="1075" t="s">
        <v>263</v>
      </c>
    </row>
    <row customHeight="1" ht="11.25">
      <c r="A9" s="1081" t="s">
        <v>1477</v>
      </c>
      <c r="B9" s="1082">
        <v>2007</v>
      </c>
      <c r="E9" s="1083" t="s">
        <v>1478</v>
      </c>
      <c r="F9" s="1100"/>
      <c r="G9" s="1074" t="s">
        <v>1479</v>
      </c>
      <c r="H9" s="1074" t="s">
        <v>1480</v>
      </c>
      <c r="I9" s="1083" t="s">
        <v>112</v>
      </c>
      <c r="O9" s="1083" t="s">
        <v>1481</v>
      </c>
      <c r="V9" s="377" t="s">
        <v>112</v>
      </c>
      <c r="W9" s="1091"/>
      <c r="X9" s="1082" t="s">
        <v>191</v>
      </c>
      <c r="Y9" s="1082" t="s">
        <v>1318</v>
      </c>
      <c r="Z9" s="1098">
        <v>1</v>
      </c>
      <c r="AA9" s="1101"/>
      <c r="AK9" s="1083" t="s">
        <v>1482</v>
      </c>
      <c r="AP9" s="1094" t="s">
        <v>1483</v>
      </c>
      <c r="AQ9" s="1095" t="s">
        <v>1483</v>
      </c>
      <c r="AW9" s="1127" t="s">
        <v>1484</v>
      </c>
      <c r="AX9" s="1127" t="s">
        <v>1484</v>
      </c>
      <c r="AZ9" s="1127" t="s">
        <v>1485</v>
      </c>
      <c r="BB9" s="1127" t="s">
        <v>1486</v>
      </c>
      <c r="BC9" s="1127" t="s">
        <v>1419</v>
      </c>
      <c r="BE9" s="1127">
        <v>2005</v>
      </c>
      <c r="BF9" s="1127" t="s">
        <v>1487</v>
      </c>
      <c r="BH9" s="1075" t="s">
        <v>1094</v>
      </c>
      <c r="BJ9" s="1075" t="s">
        <v>1488</v>
      </c>
      <c r="BL9" s="1075" t="s">
        <v>1488</v>
      </c>
      <c r="BN9" s="1075" t="s">
        <v>1489</v>
      </c>
      <c r="BQ9" s="1288">
        <v>4213777</v>
      </c>
      <c r="BR9" s="1075" t="s">
        <v>173</v>
      </c>
      <c r="BS9" s="1436"/>
      <c r="BT9" s="1288">
        <v>64236875</v>
      </c>
      <c r="BU9" s="1075" t="s">
        <v>243</v>
      </c>
      <c r="BV9" s="1077"/>
      <c r="BW9" s="1696"/>
      <c r="BX9" s="1696"/>
    </row>
    <row customHeight="1" ht="11.25">
      <c r="A10" s="1081" t="s">
        <v>1490</v>
      </c>
      <c r="B10" s="1082">
        <v>2008</v>
      </c>
      <c r="E10" s="1083" t="s">
        <v>1491</v>
      </c>
      <c r="F10" s="1100"/>
      <c r="G10" s="1083" t="s">
        <v>1492</v>
      </c>
      <c r="H10" s="1083" t="s">
        <v>1493</v>
      </c>
      <c r="I10" s="1083" t="s">
        <v>149</v>
      </c>
      <c r="J10" s="1074" t="s">
        <v>1494</v>
      </c>
      <c r="K10" s="1074" t="s">
        <v>1495</v>
      </c>
      <c r="O10" s="1083" t="s">
        <v>1496</v>
      </c>
      <c r="V10" s="378" t="s">
        <v>149</v>
      </c>
      <c r="W10" s="1104"/>
      <c r="X10" s="1104" t="s">
        <v>1497</v>
      </c>
      <c r="Y10" s="1105" t="s">
        <v>1498</v>
      </c>
      <c r="Z10" s="1098"/>
      <c r="AP10" s="1094" t="s">
        <v>1497</v>
      </c>
      <c r="AQ10" s="1095" t="s">
        <v>1497</v>
      </c>
      <c r="AW10" s="1127" t="s">
        <v>1499</v>
      </c>
      <c r="AX10" s="1127" t="s">
        <v>1499</v>
      </c>
      <c r="AZ10" s="1127" t="s">
        <v>1500</v>
      </c>
      <c r="BB10" s="1127" t="s">
        <v>1501</v>
      </c>
      <c r="BC10" s="1127" t="s">
        <v>1419</v>
      </c>
      <c r="BE10" s="1127">
        <v>2006</v>
      </c>
      <c r="BF10" s="1127" t="s">
        <v>1502</v>
      </c>
      <c r="BH10" s="1075" t="s">
        <v>1503</v>
      </c>
      <c r="BJ10" s="1075" t="s">
        <v>1095</v>
      </c>
      <c r="BL10" s="1075" t="s">
        <v>1095</v>
      </c>
      <c r="BN10" s="1075" t="s">
        <v>1504</v>
      </c>
      <c r="BQ10" s="1288">
        <v>4213778</v>
      </c>
      <c r="BR10" s="1075" t="s">
        <v>179</v>
      </c>
      <c r="BS10" s="1436"/>
      <c r="BT10" s="1288">
        <v>64236876</v>
      </c>
      <c r="BU10" s="1075" t="s">
        <v>223</v>
      </c>
      <c r="BV10" s="1077"/>
      <c r="BW10" s="1696"/>
      <c r="BX10" s="1696"/>
    </row>
    <row customHeight="1" ht="11.25">
      <c r="A11" s="1081" t="s">
        <v>1505</v>
      </c>
      <c r="B11" s="1082">
        <v>2009</v>
      </c>
      <c r="E11" s="1083" t="s">
        <v>1506</v>
      </c>
      <c r="F11" s="1100"/>
      <c r="G11" s="1083" t="s">
        <v>1507</v>
      </c>
      <c r="H11" s="1083" t="s">
        <v>1508</v>
      </c>
      <c r="I11" s="1083" t="s">
        <v>150</v>
      </c>
      <c r="J11" s="1084" t="s">
        <v>1509</v>
      </c>
      <c r="K11" s="1106" t="s">
        <v>1510</v>
      </c>
      <c r="O11" s="1084" t="s">
        <v>1511</v>
      </c>
      <c r="V11" s="377" t="s">
        <v>150</v>
      </c>
      <c r="W11" s="282"/>
      <c r="X11" s="1091" t="s">
        <v>1483</v>
      </c>
      <c r="Y11" s="1082" t="s">
        <v>1512</v>
      </c>
      <c r="Z11" s="1098"/>
      <c r="AP11" s="1094" t="s">
        <v>191</v>
      </c>
      <c r="AQ11" s="1096" t="s">
        <v>191</v>
      </c>
      <c r="AW11" s="1127" t="s">
        <v>1513</v>
      </c>
      <c r="AX11" s="1127" t="s">
        <v>1513</v>
      </c>
      <c r="AZ11" s="1127" t="s">
        <v>1514</v>
      </c>
      <c r="BB11" s="1127" t="s">
        <v>1515</v>
      </c>
      <c r="BC11" s="1127" t="s">
        <v>1419</v>
      </c>
      <c r="BE11" s="1127">
        <v>2007</v>
      </c>
      <c r="BF11" s="1127" t="s">
        <v>1516</v>
      </c>
      <c r="BH11" s="1075" t="s">
        <v>1517</v>
      </c>
      <c r="BJ11" s="1075" t="s">
        <v>1094</v>
      </c>
      <c r="BL11" s="1075" t="s">
        <v>1094</v>
      </c>
      <c r="BN11" s="1075" t="s">
        <v>1518</v>
      </c>
      <c r="BQ11" s="1288">
        <v>4213780</v>
      </c>
      <c r="BR11" s="1075" t="s">
        <v>185</v>
      </c>
      <c r="BS11" s="1436"/>
      <c r="BW11" s="1696"/>
      <c r="BX11" s="1696"/>
    </row>
    <row customHeight="1" ht="11.25">
      <c r="A12" s="1081" t="s">
        <v>1519</v>
      </c>
      <c r="B12" s="1082">
        <v>2010</v>
      </c>
      <c r="E12" s="1083" t="s">
        <v>1520</v>
      </c>
      <c r="F12" s="1100"/>
      <c r="G12" s="1083" t="s">
        <v>1508</v>
      </c>
      <c r="I12" s="1083" t="s">
        <v>151</v>
      </c>
      <c r="J12" s="1084" t="s">
        <v>1521</v>
      </c>
      <c r="K12" s="1106" t="s">
        <v>1522</v>
      </c>
      <c r="O12" s="1084" t="s">
        <v>1312</v>
      </c>
      <c r="V12" s="377" t="s">
        <v>151</v>
      </c>
      <c r="W12" s="1096"/>
      <c r="X12" s="1091" t="s">
        <v>1523</v>
      </c>
      <c r="Y12" s="1082" t="s">
        <v>1318</v>
      </c>
      <c r="AP12" s="1094"/>
      <c r="AW12" s="1127" t="s">
        <v>150</v>
      </c>
      <c r="AX12" s="1127" t="s">
        <v>150</v>
      </c>
      <c r="AZ12" s="1127" t="s">
        <v>1524</v>
      </c>
      <c r="BB12" s="1127" t="s">
        <v>1525</v>
      </c>
      <c r="BC12" s="1127" t="s">
        <v>1419</v>
      </c>
      <c r="BE12" s="1127">
        <v>2008</v>
      </c>
      <c r="BF12" s="1127" t="s">
        <v>1526</v>
      </c>
      <c r="BH12" s="1075" t="s">
        <v>1527</v>
      </c>
      <c r="BJ12" s="1075" t="s">
        <v>1528</v>
      </c>
      <c r="BL12" s="1075" t="s">
        <v>1528</v>
      </c>
      <c r="BN12" s="1075" t="s">
        <v>1529</v>
      </c>
      <c r="BQ12" s="1288">
        <v>4213779</v>
      </c>
      <c r="BR12" s="1075" t="s">
        <v>1483</v>
      </c>
      <c r="BS12" s="1436"/>
      <c r="BT12" s="1077"/>
      <c r="BU12" s="1077"/>
      <c r="BV12" s="1077"/>
      <c r="BW12" s="1696"/>
      <c r="BX12" s="1696"/>
    </row>
    <row customHeight="1" ht="11.25">
      <c r="A13" s="1081" t="s">
        <v>1530</v>
      </c>
      <c r="B13" s="1082">
        <v>2011</v>
      </c>
      <c r="E13" s="1083" t="s">
        <v>1531</v>
      </c>
      <c r="F13" s="1100"/>
      <c r="I13" s="1083" t="s">
        <v>152</v>
      </c>
      <c r="K13" s="1106" t="s">
        <v>1482</v>
      </c>
      <c r="V13" s="377" t="s">
        <v>152</v>
      </c>
      <c r="W13" s="1096"/>
      <c r="X13" s="1096"/>
      <c r="Y13" s="1096"/>
      <c r="AW13" s="1127" t="s">
        <v>151</v>
      </c>
      <c r="AX13" s="1127" t="s">
        <v>151</v>
      </c>
      <c r="BB13" s="1127" t="s">
        <v>1532</v>
      </c>
      <c r="BC13" s="1127" t="s">
        <v>1533</v>
      </c>
      <c r="BE13" s="1127">
        <v>2009</v>
      </c>
      <c r="BF13" s="1127" t="s">
        <v>1100</v>
      </c>
      <c r="BH13" s="1075" t="s">
        <v>1534</v>
      </c>
      <c r="BJ13" s="1075" t="s">
        <v>1517</v>
      </c>
      <c r="BL13" s="1075" t="s">
        <v>1517</v>
      </c>
      <c r="BN13" s="1075" t="s">
        <v>1085</v>
      </c>
      <c r="BQ13" s="1288">
        <v>4213783</v>
      </c>
      <c r="BR13" s="1075" t="s">
        <v>1497</v>
      </c>
      <c r="BS13" s="1436"/>
      <c r="BT13" s="1077"/>
      <c r="BU13" s="1077"/>
      <c r="BV13" s="1077"/>
      <c r="BW13" s="1700"/>
      <c r="BX13" s="1696"/>
    </row>
    <row customHeight="1" ht="11.25">
      <c r="A14" s="1081" t="s">
        <v>1535</v>
      </c>
      <c r="B14" s="1082">
        <v>2012</v>
      </c>
      <c r="I14" s="1083" t="s">
        <v>153</v>
      </c>
      <c r="J14" s="1074" t="s">
        <v>1536</v>
      </c>
      <c r="N14" s="1074" t="s">
        <v>1537</v>
      </c>
      <c r="V14" s="1090">
        <v>13</v>
      </c>
      <c r="W14" s="1091"/>
      <c r="X14" s="1091" t="s">
        <v>1351</v>
      </c>
      <c r="Y14" s="1082" t="s">
        <v>1318</v>
      </c>
      <c r="AW14" s="1127" t="s">
        <v>152</v>
      </c>
      <c r="AX14" s="1127" t="s">
        <v>152</v>
      </c>
      <c r="AZ14" s="1074" t="s">
        <v>1538</v>
      </c>
      <c r="BB14" s="1127" t="s">
        <v>1539</v>
      </c>
      <c r="BC14" s="1127" t="s">
        <v>1533</v>
      </c>
      <c r="BE14" s="1127">
        <v>2010</v>
      </c>
      <c r="BF14" s="1127" t="s">
        <v>1540</v>
      </c>
      <c r="BH14" s="1075" t="s">
        <v>1459</v>
      </c>
      <c r="BJ14" s="1224" t="s">
        <v>1541</v>
      </c>
      <c r="BL14" s="1224" t="s">
        <v>1541</v>
      </c>
      <c r="BN14" s="1075" t="s">
        <v>1086</v>
      </c>
      <c r="BQ14" s="1288">
        <v>4213782</v>
      </c>
      <c r="BR14" s="1075" t="s">
        <v>191</v>
      </c>
      <c r="BS14" s="1436"/>
      <c r="BT14" s="1077"/>
      <c r="BU14" s="1077"/>
      <c r="BV14" s="1077"/>
      <c r="BW14" s="1700"/>
      <c r="BX14" s="1696"/>
    </row>
    <row customHeight="1" ht="19.5">
      <c r="A15" s="1081" t="s">
        <v>1542</v>
      </c>
      <c r="B15" s="1082">
        <v>2013</v>
      </c>
      <c r="E15" s="1704" t="s">
        <v>1543</v>
      </c>
      <c r="G15" s="1074" t="s">
        <v>1544</v>
      </c>
      <c r="H15" s="1074" t="s">
        <v>1545</v>
      </c>
      <c r="I15" s="1085" t="s">
        <v>154</v>
      </c>
      <c r="J15" s="1096" t="s">
        <v>611</v>
      </c>
      <c r="N15" s="1165" t="s">
        <v>1546</v>
      </c>
      <c r="X15" s="1094"/>
      <c r="AW15" s="1127" t="s">
        <v>153</v>
      </c>
      <c r="AX15" s="1127" t="s">
        <v>153</v>
      </c>
      <c r="AZ15" s="1127" t="s">
        <v>66</v>
      </c>
      <c r="BB15" s="1127" t="s">
        <v>1547</v>
      </c>
      <c r="BC15" s="1127" t="s">
        <v>1533</v>
      </c>
      <c r="BE15" s="1127">
        <v>2011</v>
      </c>
      <c r="BF15" s="1127" t="s">
        <v>1077</v>
      </c>
      <c r="BH15" s="1075" t="s">
        <v>1474</v>
      </c>
      <c r="BJ15" s="1224" t="s">
        <v>1548</v>
      </c>
      <c r="BL15" s="1224" t="s">
        <v>1548</v>
      </c>
      <c r="BN15" s="1075" t="s">
        <v>1087</v>
      </c>
      <c r="BR15" s="1077"/>
      <c r="BS15" s="1438"/>
      <c r="BT15" s="1077"/>
      <c r="BU15" s="1077"/>
      <c r="BV15" s="1077"/>
      <c r="BW15" s="1700"/>
      <c r="BX15" s="1696"/>
    </row>
    <row customHeight="1" ht="21">
      <c r="A16" s="1874" t="s">
        <v>1549</v>
      </c>
      <c r="B16" s="1082">
        <v>2014</v>
      </c>
      <c r="E16" s="1705" t="s">
        <v>1550</v>
      </c>
      <c r="G16" s="1083" t="s">
        <v>1551</v>
      </c>
      <c r="H16" s="1083" t="s">
        <v>1552</v>
      </c>
      <c r="I16" s="1085" t="s">
        <v>98</v>
      </c>
      <c r="J16" s="1096" t="s">
        <v>555</v>
      </c>
      <c r="N16" s="1165" t="s">
        <v>1553</v>
      </c>
      <c r="AW16" s="1127" t="s">
        <v>154</v>
      </c>
      <c r="AX16" s="1127" t="s">
        <v>154</v>
      </c>
      <c r="AZ16" s="1127" t="s">
        <v>1485</v>
      </c>
      <c r="BB16" s="1127" t="s">
        <v>1554</v>
      </c>
      <c r="BC16" s="1127" t="s">
        <v>1533</v>
      </c>
      <c r="BE16" s="1127">
        <v>2012</v>
      </c>
      <c r="BH16" s="1075" t="s">
        <v>1489</v>
      </c>
      <c r="BJ16" s="1224" t="s">
        <v>1555</v>
      </c>
      <c r="BL16" s="1224" t="s">
        <v>1555</v>
      </c>
      <c r="BN16" s="1075" t="s">
        <v>1556</v>
      </c>
      <c r="BR16" s="1077"/>
      <c r="BS16" s="1438"/>
      <c r="BT16" s="1077"/>
      <c r="BU16" s="1077"/>
      <c r="BV16" s="1077"/>
      <c r="BW16" s="1700"/>
      <c r="BX16" s="1696"/>
    </row>
    <row customHeight="1" ht="21">
      <c r="A17" s="1081" t="s">
        <v>1557</v>
      </c>
      <c r="B17" s="1082">
        <v>2015</v>
      </c>
      <c r="G17" s="1083" t="s">
        <v>1508</v>
      </c>
      <c r="H17" s="1083" t="s">
        <v>1508</v>
      </c>
      <c r="I17" s="1083" t="s">
        <v>1558</v>
      </c>
      <c r="N17" s="1165" t="s">
        <v>1559</v>
      </c>
      <c r="X17" s="1094"/>
      <c r="AW17" s="1127" t="s">
        <v>98</v>
      </c>
      <c r="AX17" s="1127" t="s">
        <v>98</v>
      </c>
      <c r="AZ17" s="1127" t="s">
        <v>1560</v>
      </c>
      <c r="BB17" s="1127" t="s">
        <v>1561</v>
      </c>
      <c r="BC17" s="1127" t="s">
        <v>1419</v>
      </c>
      <c r="BE17" s="1127">
        <v>2013</v>
      </c>
      <c r="BH17" s="1075" t="s">
        <v>1504</v>
      </c>
      <c r="BJ17" s="1224" t="s">
        <v>1562</v>
      </c>
      <c r="BL17" s="1224" t="s">
        <v>1562</v>
      </c>
      <c r="BN17" s="1075" t="s">
        <v>1563</v>
      </c>
      <c r="BR17" s="1074" t="s">
        <v>1361</v>
      </c>
      <c r="BS17" s="1435"/>
      <c r="BU17" s="1074" t="s">
        <v>1564</v>
      </c>
      <c r="BV17" s="1077"/>
      <c r="BW17" s="1696"/>
      <c r="BX17" s="1698" t="s">
        <v>1565</v>
      </c>
      <c r="CA17" s="1074" t="s">
        <v>1566</v>
      </c>
      <c r="CD17" s="1074" t="s">
        <v>1567</v>
      </c>
    </row>
    <row customHeight="1" ht="21">
      <c r="A18" s="1081" t="s">
        <v>1568</v>
      </c>
      <c r="B18" s="1082">
        <v>2016</v>
      </c>
      <c r="E18" s="2009" t="s">
        <v>1569</v>
      </c>
      <c r="I18" s="1083" t="s">
        <v>1570</v>
      </c>
      <c r="N18" s="1165" t="s">
        <v>1571</v>
      </c>
      <c r="X18" s="1094"/>
      <c r="AW18" s="1127" t="s">
        <v>1558</v>
      </c>
      <c r="AX18" s="1127" t="s">
        <v>1558</v>
      </c>
      <c r="BB18" s="1127" t="s">
        <v>1572</v>
      </c>
      <c r="BC18" s="1127" t="s">
        <v>1419</v>
      </c>
      <c r="BE18" s="1127">
        <v>2014</v>
      </c>
      <c r="BH18" s="1075" t="s">
        <v>1518</v>
      </c>
      <c r="BJ18" s="1224" t="s">
        <v>1573</v>
      </c>
      <c r="BL18" s="1224" t="s">
        <v>1573</v>
      </c>
      <c r="BN18" s="1075" t="s">
        <v>1574</v>
      </c>
      <c r="BQ18" s="1439" t="s">
        <v>1391</v>
      </c>
      <c r="BR18" s="1166" t="s">
        <v>1392</v>
      </c>
      <c r="BS18" s="281"/>
      <c r="BT18" s="1439" t="s">
        <v>1575</v>
      </c>
      <c r="BU18" s="1166" t="s">
        <v>1576</v>
      </c>
      <c r="BV18" s="1077"/>
      <c r="BW18" s="1703" t="s">
        <v>1577</v>
      </c>
      <c r="BX18" s="1697" t="s">
        <v>1578</v>
      </c>
      <c r="BZ18" s="1439" t="s">
        <v>1579</v>
      </c>
      <c r="CA18" s="1166" t="s">
        <v>1580</v>
      </c>
      <c r="CC18" s="1439" t="s">
        <v>1581</v>
      </c>
      <c r="CD18" s="1166" t="s">
        <v>1582</v>
      </c>
    </row>
    <row customHeight="1" ht="21">
      <c r="A19" s="1874" t="s">
        <v>1583</v>
      </c>
      <c r="B19" s="1082">
        <v>2017</v>
      </c>
      <c r="E19" s="1081" t="s">
        <v>166</v>
      </c>
      <c r="I19" s="1083" t="s">
        <v>1584</v>
      </c>
      <c r="N19" s="1165" t="s">
        <v>1585</v>
      </c>
      <c r="X19" s="1094"/>
      <c r="AW19" s="1127" t="s">
        <v>1570</v>
      </c>
      <c r="AX19" s="1127" t="s">
        <v>1570</v>
      </c>
      <c r="AZ19" s="1074" t="s">
        <v>1586</v>
      </c>
      <c r="BB19" s="1127" t="s">
        <v>1587</v>
      </c>
      <c r="BC19" s="1127" t="s">
        <v>1419</v>
      </c>
      <c r="BE19" s="1127">
        <v>2015</v>
      </c>
      <c r="BH19" s="1075" t="s">
        <v>1588</v>
      </c>
      <c r="BJ19" s="1224" t="s">
        <v>1589</v>
      </c>
      <c r="BL19" s="1224" t="s">
        <v>1589</v>
      </c>
      <c r="BQ19" s="1288">
        <v>4190064</v>
      </c>
      <c r="BR19" s="1075" t="s">
        <v>1590</v>
      </c>
      <c r="BS19" s="1436"/>
      <c r="BT19" s="1288">
        <v>4189671</v>
      </c>
      <c r="BU19" s="1075" t="s">
        <v>1591</v>
      </c>
      <c r="BV19" s="1077"/>
      <c r="BW19" s="1701">
        <v>4189706</v>
      </c>
      <c r="BX19" s="1699" t="s">
        <v>1592</v>
      </c>
      <c r="BZ19" s="1288">
        <v>4189714</v>
      </c>
      <c r="CA19" s="1075" t="s">
        <v>1593</v>
      </c>
      <c r="CC19" s="1288">
        <v>4189708</v>
      </c>
      <c r="CD19" s="1075" t="s">
        <v>1594</v>
      </c>
    </row>
    <row customHeight="1" ht="21">
      <c r="A20" s="1081" t="s">
        <v>1595</v>
      </c>
      <c r="B20" s="1082">
        <v>2018</v>
      </c>
      <c r="E20" s="1081" t="s">
        <v>1351</v>
      </c>
      <c r="I20" s="1083" t="s">
        <v>1596</v>
      </c>
      <c r="N20" s="1165" t="s">
        <v>1597</v>
      </c>
      <c r="AW20" s="1127" t="s">
        <v>1584</v>
      </c>
      <c r="AX20" s="1127" t="s">
        <v>1584</v>
      </c>
      <c r="AZ20" s="1127" t="s">
        <v>1598</v>
      </c>
      <c r="BB20" s="1127" t="s">
        <v>1599</v>
      </c>
      <c r="BC20" s="1127" t="s">
        <v>1533</v>
      </c>
      <c r="BE20" s="1127">
        <v>2016</v>
      </c>
      <c r="BH20" s="1075" t="s">
        <v>1529</v>
      </c>
      <c r="BJ20" s="1075" t="s">
        <v>1459</v>
      </c>
      <c r="BL20" s="1075" t="s">
        <v>1459</v>
      </c>
      <c r="BQ20" s="1288">
        <v>4190065</v>
      </c>
      <c r="BR20" s="1075" t="s">
        <v>1600</v>
      </c>
      <c r="BS20" s="1436"/>
      <c r="BT20" s="1288">
        <v>4189672</v>
      </c>
      <c r="BU20" s="1075" t="s">
        <v>1601</v>
      </c>
      <c r="BV20" s="1077"/>
      <c r="BW20" s="1701">
        <v>4189705</v>
      </c>
      <c r="BX20" s="1699" t="s">
        <v>1602</v>
      </c>
      <c r="BZ20" s="1288">
        <v>4189713</v>
      </c>
      <c r="CA20" s="1075" t="s">
        <v>1602</v>
      </c>
      <c r="CC20" s="1288">
        <v>4189709</v>
      </c>
      <c r="CD20" s="1075" t="s">
        <v>1603</v>
      </c>
    </row>
    <row customHeight="1" ht="21">
      <c r="A21" s="1081" t="s">
        <v>1604</v>
      </c>
      <c r="B21" s="1082">
        <v>2019</v>
      </c>
      <c r="I21" s="1083" t="s">
        <v>1605</v>
      </c>
      <c r="N21" s="1165" t="s">
        <v>1606</v>
      </c>
      <c r="AW21" s="1127" t="s">
        <v>1596</v>
      </c>
      <c r="AX21" s="1127" t="s">
        <v>1596</v>
      </c>
      <c r="AZ21" s="1127" t="s">
        <v>1607</v>
      </c>
      <c r="BB21" s="1127" t="s">
        <v>1608</v>
      </c>
      <c r="BC21" s="1127" t="s">
        <v>1419</v>
      </c>
      <c r="BE21" s="1127">
        <v>2017</v>
      </c>
      <c r="BH21" s="1075" t="s">
        <v>1085</v>
      </c>
      <c r="BJ21" s="1075" t="s">
        <v>1474</v>
      </c>
      <c r="BL21" s="1075" t="s">
        <v>1474</v>
      </c>
      <c r="BQ21" s="1288">
        <v>4190066</v>
      </c>
      <c r="BR21" s="1075" t="s">
        <v>1609</v>
      </c>
      <c r="BS21" s="1436"/>
      <c r="BT21" s="1288">
        <v>4189673</v>
      </c>
      <c r="BU21" s="1075" t="s">
        <v>1610</v>
      </c>
      <c r="BV21" s="1077"/>
      <c r="BW21" s="1701">
        <v>4189707</v>
      </c>
      <c r="BX21" s="1699" t="s">
        <v>1611</v>
      </c>
      <c r="BZ21" s="1288">
        <v>4189712</v>
      </c>
      <c r="CA21" s="1075" t="s">
        <v>1612</v>
      </c>
      <c r="CC21" s="1288">
        <v>4189710</v>
      </c>
      <c r="CD21" s="1075" t="s">
        <v>1613</v>
      </c>
    </row>
    <row customHeight="1" ht="21">
      <c r="A22" s="1081" t="s">
        <v>1614</v>
      </c>
      <c r="B22" s="1082">
        <v>2020</v>
      </c>
      <c r="N22" s="1165" t="s">
        <v>1615</v>
      </c>
      <c r="AW22" s="1127" t="s">
        <v>1605</v>
      </c>
      <c r="AX22" s="1127" t="s">
        <v>1605</v>
      </c>
      <c r="AZ22" s="1127" t="s">
        <v>1616</v>
      </c>
      <c r="BB22" s="1127" t="s">
        <v>1617</v>
      </c>
      <c r="BC22" s="1127" t="s">
        <v>1419</v>
      </c>
      <c r="BE22" s="1127">
        <v>2018</v>
      </c>
      <c r="BH22" s="1075" t="s">
        <v>1086</v>
      </c>
      <c r="BJ22" s="1075" t="s">
        <v>1489</v>
      </c>
      <c r="BL22" s="1075" t="s">
        <v>1489</v>
      </c>
      <c r="BQ22" s="1288">
        <v>4190067</v>
      </c>
      <c r="BR22" s="1075" t="s">
        <v>1618</v>
      </c>
      <c r="BS22" s="1436"/>
      <c r="BT22" s="1288">
        <v>4189674</v>
      </c>
      <c r="BU22" s="1075" t="s">
        <v>1619</v>
      </c>
      <c r="BV22" s="1077"/>
      <c r="BW22" s="1077"/>
      <c r="CC22" s="1288">
        <v>4189711</v>
      </c>
      <c r="CD22" s="1075" t="s">
        <v>292</v>
      </c>
    </row>
    <row customHeight="1" ht="21">
      <c r="A23" s="1081" t="s">
        <v>1620</v>
      </c>
      <c r="B23" s="1082">
        <v>2021</v>
      </c>
      <c r="AW23" s="1127" t="s">
        <v>1621</v>
      </c>
      <c r="AX23" s="1127" t="s">
        <v>1621</v>
      </c>
      <c r="AZ23" s="1127" t="s">
        <v>1622</v>
      </c>
      <c r="BB23" s="1127" t="s">
        <v>1623</v>
      </c>
      <c r="BC23" s="1127" t="s">
        <v>1329</v>
      </c>
      <c r="BE23" s="1127">
        <v>2019</v>
      </c>
      <c r="BH23" s="1075" t="s">
        <v>1087</v>
      </c>
      <c r="BJ23" s="1075" t="s">
        <v>1504</v>
      </c>
      <c r="BL23" s="1075" t="s">
        <v>1504</v>
      </c>
      <c r="BQ23" s="1288">
        <v>4190068</v>
      </c>
      <c r="BR23" s="1075" t="s">
        <v>1624</v>
      </c>
      <c r="BS23" s="1436"/>
      <c r="BT23" s="1288">
        <v>4189675</v>
      </c>
      <c r="BU23" s="1075" t="s">
        <v>1625</v>
      </c>
      <c r="BV23" s="1077"/>
      <c r="BW23" s="1077"/>
      <c r="CC23" s="1288">
        <v>5110778</v>
      </c>
      <c r="CD23" s="1075" t="s">
        <v>1626</v>
      </c>
    </row>
    <row customHeight="1" ht="21">
      <c r="A24" s="1081" t="s">
        <v>1627</v>
      </c>
      <c r="B24" s="1082">
        <v>2022</v>
      </c>
      <c r="AW24" s="1127" t="s">
        <v>1628</v>
      </c>
      <c r="AX24" s="1127" t="s">
        <v>1628</v>
      </c>
      <c r="AZ24" s="1127" t="s">
        <v>1629</v>
      </c>
      <c r="BB24" s="1127" t="s">
        <v>1630</v>
      </c>
      <c r="BC24" s="1127" t="s">
        <v>1631</v>
      </c>
      <c r="BE24" s="1127">
        <v>2020</v>
      </c>
      <c r="BH24" s="1075" t="s">
        <v>1556</v>
      </c>
      <c r="BJ24" s="1075" t="s">
        <v>1518</v>
      </c>
      <c r="BL24" s="1075" t="s">
        <v>1518</v>
      </c>
      <c r="BQ24" s="1288">
        <v>4190069</v>
      </c>
      <c r="BR24" s="1075" t="s">
        <v>1632</v>
      </c>
      <c r="BS24" s="1436"/>
      <c r="BT24" s="1288">
        <v>4189676</v>
      </c>
      <c r="BU24" s="1075" t="s">
        <v>1633</v>
      </c>
      <c r="BV24" s="1077"/>
      <c r="BW24" s="1077"/>
      <c r="CC24" s="1288">
        <v>25575374</v>
      </c>
      <c r="CD24" s="1075" t="s">
        <v>1634</v>
      </c>
    </row>
    <row customHeight="1" ht="11.25">
      <c r="A25" s="1081" t="s">
        <v>1635</v>
      </c>
      <c r="B25" s="1082">
        <v>2023</v>
      </c>
      <c r="AW25" s="1127" t="s">
        <v>1636</v>
      </c>
      <c r="AX25" s="1127" t="s">
        <v>1636</v>
      </c>
      <c r="AZ25" s="1127" t="s">
        <v>1637</v>
      </c>
      <c r="BB25" s="1127" t="s">
        <v>1638</v>
      </c>
      <c r="BC25" s="1127" t="s">
        <v>1631</v>
      </c>
      <c r="BE25" s="1127">
        <v>2021</v>
      </c>
      <c r="BH25" s="1075" t="s">
        <v>1563</v>
      </c>
      <c r="BJ25" s="1075" t="s">
        <v>1588</v>
      </c>
      <c r="BL25" s="1075" t="s">
        <v>1588</v>
      </c>
      <c r="BQ25" s="1288">
        <v>4190070</v>
      </c>
      <c r="BR25" s="1075" t="s">
        <v>1639</v>
      </c>
      <c r="BS25" s="1436"/>
      <c r="BT25" s="1288">
        <v>4189677</v>
      </c>
      <c r="BU25" s="1075" t="s">
        <v>1640</v>
      </c>
      <c r="BV25" s="1077"/>
      <c r="BW25" s="1077"/>
    </row>
    <row customHeight="1" ht="11.25">
      <c r="A26" s="1081" t="s">
        <v>1641</v>
      </c>
      <c r="B26" s="1082">
        <v>2024</v>
      </c>
      <c r="J26" s="1737" t="s">
        <v>1642</v>
      </c>
      <c r="AX26" s="1127" t="s">
        <v>1643</v>
      </c>
      <c r="AZ26" s="1127" t="s">
        <v>1511</v>
      </c>
      <c r="BB26" s="1127" t="s">
        <v>1644</v>
      </c>
      <c r="BC26" s="1127" t="s">
        <v>1631</v>
      </c>
      <c r="BE26" s="1127">
        <v>2022</v>
      </c>
      <c r="BH26" s="1075" t="s">
        <v>1574</v>
      </c>
      <c r="BJ26" s="1075" t="s">
        <v>1529</v>
      </c>
      <c r="BL26" s="1075" t="s">
        <v>1529</v>
      </c>
      <c r="BQ26" s="1288">
        <v>4190071</v>
      </c>
      <c r="BR26" s="1075" t="s">
        <v>1645</v>
      </c>
      <c r="BS26" s="1436"/>
      <c r="BV26" s="1077"/>
      <c r="BW26" s="1077"/>
    </row>
    <row customHeight="1" ht="11.25">
      <c r="A27" s="1081" t="s">
        <v>1646</v>
      </c>
      <c r="B27" s="1082">
        <v>2025</v>
      </c>
      <c r="J27" s="183" t="s">
        <v>576</v>
      </c>
      <c r="AX27" s="1127" t="s">
        <v>1647</v>
      </c>
      <c r="BB27" s="1127" t="s">
        <v>1648</v>
      </c>
      <c r="BC27" s="1127" t="s">
        <v>1631</v>
      </c>
      <c r="BE27" s="1127">
        <v>2023</v>
      </c>
      <c r="BH27" s="1077" t="s">
        <v>22</v>
      </c>
      <c r="BJ27" s="1075" t="s">
        <v>1085</v>
      </c>
      <c r="BL27" s="1075" t="s">
        <v>1085</v>
      </c>
      <c r="BN27" s="1077" t="s">
        <v>22</v>
      </c>
      <c r="BQ27" s="1288">
        <v>4190072</v>
      </c>
      <c r="BR27" s="1075" t="s">
        <v>1649</v>
      </c>
      <c r="BS27" s="1436"/>
      <c r="BV27" s="1077"/>
      <c r="BW27" s="1077"/>
    </row>
    <row customHeight="1" ht="11.25">
      <c r="A28" s="1081" t="s">
        <v>1650</v>
      </c>
      <c r="D28" s="1108"/>
      <c r="E28" s="1109"/>
      <c r="F28" s="1109"/>
      <c r="H28" s="1110" t="s">
        <v>1651</v>
      </c>
      <c r="AX28" s="1127" t="s">
        <v>1652</v>
      </c>
      <c r="AZ28" s="1074" t="s">
        <v>1653</v>
      </c>
      <c r="BB28" s="1127" t="s">
        <v>1654</v>
      </c>
      <c r="BC28" s="1127" t="s">
        <v>1655</v>
      </c>
      <c r="BE28" s="1127">
        <v>2024</v>
      </c>
      <c r="BH28" s="1077" t="s">
        <v>22</v>
      </c>
      <c r="BJ28" s="1075" t="s">
        <v>1086</v>
      </c>
      <c r="BL28" s="1075" t="s">
        <v>1086</v>
      </c>
      <c r="BN28" s="1077" t="s">
        <v>22</v>
      </c>
      <c r="BQ28" s="1288">
        <v>4190073</v>
      </c>
      <c r="BR28" s="1075" t="s">
        <v>1656</v>
      </c>
      <c r="BS28" s="1436"/>
      <c r="BV28" s="1077"/>
      <c r="BW28" s="1077"/>
    </row>
    <row customHeight="1" ht="11.25">
      <c r="A29" s="1081" t="s">
        <v>1657</v>
      </c>
      <c r="D29" s="1111" t="s">
        <v>1658</v>
      </c>
      <c r="E29" s="1112" t="str">
        <f>IF(TEMPLATE_GROUP="","",INDEX(StartDateList,MATCH(TEMPLATE_GROUP,CodeTemplateList,0),1))</f>
        <v>01.01.2024</v>
      </c>
      <c r="F29" s="1112" t="str">
        <f>IF(TEMPLATE_GROUP="","",INDEX(EndDateList,MATCH(TEMPLATE_GROUP,CodeTemplateList,0),1))</f>
        <v>31.12.2024</v>
      </c>
      <c r="H29" s="1113" t="s">
        <v>1659</v>
      </c>
      <c r="AX29" s="1127" t="s">
        <v>1660</v>
      </c>
      <c r="AZ29" s="1127" t="s">
        <v>1313</v>
      </c>
      <c r="BB29" s="1127" t="s">
        <v>1511</v>
      </c>
      <c r="BC29" s="1098"/>
      <c r="BE29" s="1127">
        <v>2025</v>
      </c>
      <c r="BJ29" s="1075" t="s">
        <v>1087</v>
      </c>
      <c r="BL29" s="1075" t="s">
        <v>1087</v>
      </c>
    </row>
    <row customHeight="1" ht="11.25">
      <c r="A30" s="1081" t="s">
        <v>1661</v>
      </c>
      <c r="D30" s="1114"/>
      <c r="E30" s="1115"/>
      <c r="F30" s="1115"/>
      <c r="AX30" s="1127" t="s">
        <v>1662</v>
      </c>
      <c r="AZ30" s="1127" t="s">
        <v>1340</v>
      </c>
      <c r="BE30" s="1127">
        <v>2026</v>
      </c>
      <c r="BJ30" s="1075" t="s">
        <v>1663</v>
      </c>
      <c r="BL30" s="1075" t="s">
        <v>1663</v>
      </c>
    </row>
    <row customHeight="1" ht="12.75">
      <c r="A31" s="1081" t="s">
        <v>1664</v>
      </c>
      <c r="D31" s="1108"/>
      <c r="E31" s="1109"/>
      <c r="F31" s="1109"/>
      <c r="H31" s="1116"/>
      <c r="AX31" s="1127" t="s">
        <v>1665</v>
      </c>
      <c r="AZ31" s="1127" t="s">
        <v>1666</v>
      </c>
      <c r="BE31" s="1127">
        <v>2027</v>
      </c>
      <c r="BJ31" s="1075" t="s">
        <v>1667</v>
      </c>
      <c r="BL31" s="1075" t="s">
        <v>1667</v>
      </c>
    </row>
    <row customHeight="1" ht="11.25">
      <c r="A32" s="1081" t="s">
        <v>1668</v>
      </c>
      <c r="D32" s="1111" t="s">
        <v>1669</v>
      </c>
      <c r="E32" s="1112" t="str">
        <f>IF(TEMPLATE_GROUP="","",INDEX(StartDateList,MATCH(TEMPLATE_GROUP,CodeTemplateList,0),1))</f>
        <v>01.01.2024</v>
      </c>
      <c r="F32" s="1112" t="str">
        <f>IF(TEMPLATE_GROUP="","",INDEX(EndDateList,MATCH(TEMPLATE_GROUP,CodeTemplateList,0),1))</f>
        <v>31.12.2024</v>
      </c>
      <c r="H32" s="1117" t="s">
        <v>1670</v>
      </c>
      <c r="O32" s="1081" t="s">
        <v>1311</v>
      </c>
      <c r="AX32" s="1127" t="s">
        <v>1671</v>
      </c>
      <c r="AZ32" s="1127" t="s">
        <v>1407</v>
      </c>
      <c r="BE32" s="1127">
        <v>2028</v>
      </c>
      <c r="BJ32" s="1075" t="s">
        <v>1556</v>
      </c>
      <c r="BL32" s="1075" t="s">
        <v>1556</v>
      </c>
    </row>
    <row customHeight="1" ht="11.25">
      <c r="A33" s="1081" t="s">
        <v>1672</v>
      </c>
      <c r="O33" s="1081" t="s">
        <v>1337</v>
      </c>
      <c r="AX33" s="1127" t="s">
        <v>1673</v>
      </c>
      <c r="AZ33" s="1127" t="s">
        <v>1312</v>
      </c>
      <c r="BE33" s="1127">
        <v>2029</v>
      </c>
      <c r="BJ33" s="1075" t="s">
        <v>1563</v>
      </c>
      <c r="BL33" s="1075" t="s">
        <v>1563</v>
      </c>
    </row>
    <row customHeight="1" ht="11.25">
      <c r="A34" s="1081" t="s">
        <v>1674</v>
      </c>
      <c r="O34" s="1081" t="s">
        <v>1372</v>
      </c>
      <c r="AX34" s="1127" t="s">
        <v>1675</v>
      </c>
      <c r="BE34" s="1127">
        <v>2030</v>
      </c>
      <c r="BJ34" s="1075" t="s">
        <v>1574</v>
      </c>
      <c r="BL34" s="1075" t="s">
        <v>1574</v>
      </c>
    </row>
    <row customHeight="1" ht="11.25">
      <c r="A35" s="1081" t="s">
        <v>1676</v>
      </c>
      <c r="O35" s="1081" t="s">
        <v>1405</v>
      </c>
      <c r="AX35" s="1127" t="s">
        <v>1677</v>
      </c>
      <c r="AZ35" s="1074" t="s">
        <v>1678</v>
      </c>
      <c r="BE35" s="1127">
        <v>2031</v>
      </c>
      <c r="BL35" s="1075" t="s">
        <v>1679</v>
      </c>
    </row>
    <row customHeight="1" ht="11.25">
      <c r="A36" s="1874" t="s">
        <v>1680</v>
      </c>
      <c r="D36" s="1118" t="s">
        <v>1681</v>
      </c>
      <c r="E36" s="1119" t="s">
        <v>900</v>
      </c>
      <c r="F36" s="1120" t="str">
        <f>INDEX(E37:E41,MATCH(TEMPLATE_SPHERE,F37:F41,0))</f>
        <v>холодного водоснабжения</v>
      </c>
      <c r="G36" s="1120" t="str">
        <f>INDEX(G37:G41,MATCH(TEMPLATE_SPHERE,F37:F41,0))</f>
        <v>холодное водоснабжение</v>
      </c>
      <c r="O36" s="1081" t="s">
        <v>1430</v>
      </c>
      <c r="AX36" s="1127" t="s">
        <v>1682</v>
      </c>
      <c r="AZ36" s="1127" t="s">
        <v>1312</v>
      </c>
      <c r="BE36" s="1127">
        <v>2032</v>
      </c>
      <c r="BL36" s="1075" t="s">
        <v>1683</v>
      </c>
    </row>
    <row customHeight="1" ht="11.25">
      <c r="A37" s="1081" t="s">
        <v>1684</v>
      </c>
      <c r="E37" s="414" t="s">
        <v>1685</v>
      </c>
      <c r="F37" s="1121" t="s">
        <v>854</v>
      </c>
      <c r="G37" s="414" t="s">
        <v>1686</v>
      </c>
      <c r="O37" s="1081" t="s">
        <v>1449</v>
      </c>
      <c r="AX37" s="1127" t="s">
        <v>1687</v>
      </c>
      <c r="AZ37" s="1127" t="s">
        <v>1339</v>
      </c>
      <c r="BE37" s="1127">
        <v>2033</v>
      </c>
    </row>
    <row customHeight="1" ht="11.25">
      <c r="A38" s="1081" t="s">
        <v>1688</v>
      </c>
      <c r="E38" s="414" t="s">
        <v>1689</v>
      </c>
      <c r="F38" s="1122" t="s">
        <v>900</v>
      </c>
      <c r="G38" s="414" t="s">
        <v>1690</v>
      </c>
      <c r="O38" s="1081" t="s">
        <v>1466</v>
      </c>
      <c r="AX38" s="1127" t="s">
        <v>1691</v>
      </c>
      <c r="AZ38" s="1127" t="s">
        <v>1373</v>
      </c>
      <c r="BE38" s="1127">
        <v>2034</v>
      </c>
      <c r="BH38" s="1074" t="s">
        <v>1692</v>
      </c>
      <c r="BJ38" s="1074" t="s">
        <v>1693</v>
      </c>
      <c r="BL38" s="1074" t="s">
        <v>1694</v>
      </c>
      <c r="BN38" s="1074" t="s">
        <v>1695</v>
      </c>
    </row>
    <row customHeight="1" ht="11.25">
      <c r="A39" s="1081" t="s">
        <v>1696</v>
      </c>
      <c r="E39" s="414" t="s">
        <v>1697</v>
      </c>
      <c r="F39" s="1122" t="s">
        <v>954</v>
      </c>
      <c r="G39" s="414" t="s">
        <v>1698</v>
      </c>
      <c r="O39" s="1081" t="s">
        <v>1481</v>
      </c>
      <c r="AX39" s="1127" t="s">
        <v>1699</v>
      </c>
      <c r="AZ39" s="1127" t="s">
        <v>1406</v>
      </c>
      <c r="BE39" s="1127">
        <v>2035</v>
      </c>
      <c r="BH39" s="1075" t="s">
        <v>1700</v>
      </c>
      <c r="BJ39" s="1224" t="s">
        <v>1700</v>
      </c>
      <c r="BL39" s="1224" t="s">
        <v>1700</v>
      </c>
      <c r="BN39" s="1075" t="s">
        <v>1701</v>
      </c>
    </row>
    <row customHeight="1" ht="11.25">
      <c r="A40" s="1081" t="s">
        <v>16</v>
      </c>
      <c r="E40" s="414" t="s">
        <v>1702</v>
      </c>
      <c r="F40" s="1122" t="s">
        <v>941</v>
      </c>
      <c r="G40" s="414" t="s">
        <v>1703</v>
      </c>
      <c r="O40" s="1081" t="s">
        <v>1496</v>
      </c>
      <c r="AX40" s="1127" t="s">
        <v>1704</v>
      </c>
      <c r="BE40" s="1127">
        <v>2036</v>
      </c>
      <c r="BH40" s="1075" t="s">
        <v>1705</v>
      </c>
      <c r="BJ40" s="1224" t="s">
        <v>1119</v>
      </c>
      <c r="BL40" s="1224" t="s">
        <v>1119</v>
      </c>
      <c r="BN40" s="1075" t="s">
        <v>1153</v>
      </c>
    </row>
    <row customHeight="1" ht="11.25">
      <c r="A41" s="1081" t="s">
        <v>1706</v>
      </c>
      <c r="E41" s="414" t="s">
        <v>1707</v>
      </c>
      <c r="F41" s="1122" t="s">
        <v>1708</v>
      </c>
      <c r="G41" s="414" t="s">
        <v>1707</v>
      </c>
      <c r="O41" s="1081" t="s">
        <v>1511</v>
      </c>
      <c r="AX41" s="1127" t="s">
        <v>1709</v>
      </c>
      <c r="AZ41" s="1074" t="s">
        <v>1710</v>
      </c>
      <c r="BE41" s="1127">
        <v>2037</v>
      </c>
      <c r="BH41" s="1075" t="s">
        <v>1711</v>
      </c>
      <c r="BJ41" s="1224" t="s">
        <v>1115</v>
      </c>
      <c r="BL41" s="1224" t="s">
        <v>1115</v>
      </c>
      <c r="BN41" s="1075" t="s">
        <v>1140</v>
      </c>
    </row>
    <row customHeight="1" ht="11.25">
      <c r="A42" s="1081" t="s">
        <v>1712</v>
      </c>
      <c r="AX42" s="1127" t="s">
        <v>1713</v>
      </c>
      <c r="AZ42" s="1127" t="s">
        <v>1311</v>
      </c>
      <c r="BE42" s="1127">
        <v>2038</v>
      </c>
      <c r="BH42" s="1075" t="s">
        <v>1137</v>
      </c>
      <c r="BJ42" s="1224" t="s">
        <v>1117</v>
      </c>
      <c r="BL42" s="1224" t="s">
        <v>1117</v>
      </c>
      <c r="BN42" s="1075" t="s">
        <v>1714</v>
      </c>
    </row>
    <row customHeight="1" ht="11.25">
      <c r="A43" s="1081" t="s">
        <v>1715</v>
      </c>
      <c r="AX43" s="1127" t="s">
        <v>1716</v>
      </c>
      <c r="AZ43" s="1127" t="s">
        <v>1337</v>
      </c>
      <c r="BE43" s="1127">
        <v>2039</v>
      </c>
      <c r="BH43" s="1075" t="s">
        <v>1717</v>
      </c>
      <c r="BJ43" s="1224" t="s">
        <v>1711</v>
      </c>
      <c r="BL43" s="1224" t="s">
        <v>1711</v>
      </c>
      <c r="BN43" s="1075" t="s">
        <v>1718</v>
      </c>
    </row>
    <row customHeight="1" ht="11.25">
      <c r="A44" s="1081" t="s">
        <v>1719</v>
      </c>
      <c r="G44" s="1101">
        <f>YEAR(TODAY())</f>
        <v>2025</v>
      </c>
      <c r="I44" s="806" t="s">
        <v>1720</v>
      </c>
      <c r="J44" s="1096" t="s">
        <v>1721</v>
      </c>
      <c r="K44" s="1096" t="s">
        <v>1722</v>
      </c>
      <c r="AX44" s="1127" t="s">
        <v>1723</v>
      </c>
      <c r="AZ44" s="1127" t="s">
        <v>1372</v>
      </c>
      <c r="BE44" s="1127">
        <v>2040</v>
      </c>
      <c r="BH44" s="1075" t="s">
        <v>1724</v>
      </c>
      <c r="BJ44" s="1224" t="s">
        <v>1137</v>
      </c>
      <c r="BL44" s="1224" t="s">
        <v>1137</v>
      </c>
      <c r="BN44" s="1075" t="s">
        <v>1725</v>
      </c>
    </row>
    <row customHeight="1" ht="11.25">
      <c r="A45" s="1081" t="s">
        <v>1726</v>
      </c>
      <c r="D45" s="1118" t="s">
        <v>1727</v>
      </c>
      <c r="E45" s="1119" t="s">
        <v>1728</v>
      </c>
      <c r="F45" s="804" t="s">
        <v>1729</v>
      </c>
      <c r="G45" s="803" t="s">
        <v>1730</v>
      </c>
      <c r="H45" s="806" t="s">
        <v>1731</v>
      </c>
      <c r="I45" s="1747">
        <f>INDEX(PeriodIsEmptyList,MATCH(TEMPLATE_GROUP,CodeTemplateList,0),1)</f>
        <v>0</v>
      </c>
      <c r="J45" s="1750"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7" t="s">
        <v>1732</v>
      </c>
      <c r="AZ45" s="1127" t="s">
        <v>1405</v>
      </c>
      <c r="BE45" s="1127">
        <v>2041</v>
      </c>
      <c r="BH45" s="1075" t="s">
        <v>1733</v>
      </c>
      <c r="BJ45" s="1224" t="s">
        <v>1131</v>
      </c>
      <c r="BL45" s="1224" t="s">
        <v>1131</v>
      </c>
      <c r="BN45" s="1075" t="s">
        <v>1734</v>
      </c>
    </row>
    <row customHeight="1" ht="11.25">
      <c r="A46" s="1081" t="s">
        <v>1735</v>
      </c>
      <c r="E46" s="414" t="s">
        <v>27</v>
      </c>
      <c r="F46" s="1121" t="s">
        <v>1736</v>
      </c>
      <c r="G46" s="1123" t="str">
        <f>_xlfn.IFERROR(IF(TITLE_DATE_FIL="","01.01."&amp;CURRENT_YEAR,"01.01."&amp;YEAR(TITLE_DATE_FIL)),"01.01."&amp;CURRENT_YEAR)</f>
        <v>01.01.2025</v>
      </c>
      <c r="H46" s="1123" t="str">
        <f>_xlfn.IFERROR(IF(TITLE_DATE_FIL="","31.12."&amp;CURRENT_YEAR,"31.12."&amp;YEAR(TITLE_DATE_FIL)),"31.12."&amp;CURRENT_YEAR)</f>
        <v>31.12.2025</v>
      </c>
      <c r="I46" s="1748">
        <f>IF(TITLE_DATE_FIL="",TRUE,FALSE)</f>
        <v>1</v>
      </c>
      <c r="J46" s="1751" t="str">
        <f>"Общая информация о регулируемой организации ("&amp;TEMPLATE_SPHERE_RUS&amp;")"</f>
        <v>Общая информация о регулируемой организации (холодного водоснабжения)</v>
      </c>
      <c r="K46" s="1752"/>
      <c r="AX46" s="1127" t="s">
        <v>1737</v>
      </c>
      <c r="AZ46" s="1127" t="s">
        <v>1430</v>
      </c>
      <c r="BE46" s="1127">
        <v>2042</v>
      </c>
      <c r="BH46" s="1075" t="s">
        <v>1140</v>
      </c>
      <c r="BJ46" s="1224" t="s">
        <v>1121</v>
      </c>
      <c r="BL46" s="1224" t="s">
        <v>1121</v>
      </c>
      <c r="BN46" s="1075" t="s">
        <v>1738</v>
      </c>
    </row>
    <row customHeight="1" ht="11.25">
      <c r="A47" s="1081" t="s">
        <v>1739</v>
      </c>
      <c r="E47" s="414" t="s">
        <v>33</v>
      </c>
      <c r="F47" s="1122" t="s">
        <v>1740</v>
      </c>
      <c r="G47" s="1123" t="str">
        <f>_xlfn.IFERROR(IF(f_year="","01.01."&amp;CURRENT_YEAR,IF(LEN(f_quart)=0,"01.01."&amp;f_year,IF(f_quart="I квартал","01.01."&amp;f_year,IF(f_quart="II квартал","01.04."&amp;f_year,(IF(f_quart="III квартал","01.07."&amp;f_year,"01.10."&amp;f_year)))))),"01.01."&amp;CURRENT_YEAR)</f>
        <v>01.01.2024</v>
      </c>
      <c r="H47" s="1123" t="str">
        <f>_xlfn.IFERROR(IF(f_year="","31.12."&amp;CURRENT_YEAR,IF(LEN(f_quart)=0,"31.12."&amp;f_year,IF(f_quart="I квартал","31.03."&amp;f_year,IF(f_quart="II квартал","30.06."&amp;f_year,(IF(f_quart="III квартал","30.09."&amp;f_year,"31.12."&amp;f_year)))))),"31.12."&amp;CURRENT_YEAR)</f>
        <v>31.12.2024</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2"/>
      <c r="AX47" s="1127" t="s">
        <v>1741</v>
      </c>
      <c r="AZ47" s="1127" t="s">
        <v>1449</v>
      </c>
      <c r="BE47" s="1127">
        <v>2043</v>
      </c>
      <c r="BH47" s="1075" t="s">
        <v>1714</v>
      </c>
      <c r="BJ47" s="1224" t="s">
        <v>1123</v>
      </c>
      <c r="BL47" s="1224" t="s">
        <v>1123</v>
      </c>
      <c r="BN47" s="1075" t="s">
        <v>1742</v>
      </c>
    </row>
    <row customHeight="1" ht="11.25">
      <c r="A48" s="1081" t="s">
        <v>1743</v>
      </c>
      <c r="E48" s="414" t="s">
        <v>1744</v>
      </c>
      <c r="F48" s="1122" t="s">
        <v>1728</v>
      </c>
      <c r="G48" s="1123" t="str">
        <f>_xlfn.IFERROR(IF(f_year="","01.01."&amp;CURRENT_YEAR,"01.01."&amp;f_year),"01.01."&amp;CURRENT_YEAR)</f>
        <v>01.01.2024</v>
      </c>
      <c r="H48" s="1123" t="str">
        <f>_xlfn.IFERROR(IF(f_year="","31.12."&amp;CURRENT_YEAR,"31.12."&amp;f_year),"31.12."&amp;CURRENT_YEAR)</f>
        <v>31.12.2024</v>
      </c>
      <c r="I48" s="1748">
        <f>IF(f_year="",TRUE,FALSE)</f>
        <v>0</v>
      </c>
      <c r="J48" s="1751" t="s">
        <v>1745</v>
      </c>
      <c r="K48" s="1752"/>
      <c r="AX48" s="1127" t="s">
        <v>1746</v>
      </c>
      <c r="AZ48" s="1127" t="s">
        <v>1466</v>
      </c>
      <c r="BE48" s="1127">
        <v>2044</v>
      </c>
      <c r="BH48" s="1075" t="s">
        <v>1718</v>
      </c>
      <c r="BJ48" s="1224" t="s">
        <v>1125</v>
      </c>
      <c r="BL48" s="1224" t="s">
        <v>1125</v>
      </c>
      <c r="BN48" s="1075" t="s">
        <v>1747</v>
      </c>
    </row>
    <row customHeight="1" ht="11.25">
      <c r="A49" s="1081" t="s">
        <v>1748</v>
      </c>
      <c r="E49" s="414" t="s">
        <v>1749</v>
      </c>
      <c r="F49" s="1122" t="s">
        <v>1750</v>
      </c>
      <c r="G49" s="1123" t="str">
        <f>_xlfn.IFERROR(IF(f_year="","01.01."&amp;CURRENT_YEAR,"01.01."&amp;f_year),"01.01."&amp;CURRENT_YEAR)</f>
        <v>01.01.2024</v>
      </c>
      <c r="H49" s="1123" t="str">
        <f>_xlfn.IFERROR(IF(f_year="","31.12."&amp;CURRENT_YEAR,"31.12."&amp;f_year),"31.12."&amp;CURRENT_YEAR)</f>
        <v>31.12.2024</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2"/>
      <c r="AX49" s="1127" t="s">
        <v>1751</v>
      </c>
      <c r="AZ49" s="1127" t="s">
        <v>1481</v>
      </c>
      <c r="BE49" s="1127">
        <v>2045</v>
      </c>
      <c r="BH49" s="1075" t="s">
        <v>1141</v>
      </c>
      <c r="BJ49" s="1224" t="s">
        <v>1127</v>
      </c>
      <c r="BL49" s="1224" t="s">
        <v>1127</v>
      </c>
    </row>
    <row customHeight="1" ht="11.25">
      <c r="A50" s="1081" t="s">
        <v>1752</v>
      </c>
      <c r="E50" s="414" t="s">
        <v>1753</v>
      </c>
      <c r="F50" s="1122" t="s">
        <v>1111</v>
      </c>
      <c r="G50" s="1123" t="str">
        <f>_xlfn.IFERROR(IF(f_year="","01.01."&amp;CURRENT_YEAR,"01.01."&amp;f_year),"01.01."&amp;CURRENT_YEAR)</f>
        <v>01.01.2024</v>
      </c>
      <c r="H50" s="1123" t="str">
        <f>_xlfn.IFERROR(IF(f_year="","31.12."&amp;CURRENT_YEAR,"31.12."&amp;f_year),"31.12."&amp;CURRENT_YEAR)</f>
        <v>31.12.2024</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2"/>
      <c r="AX50" s="1127" t="s">
        <v>1754</v>
      </c>
      <c r="AZ50" s="1127" t="s">
        <v>1496</v>
      </c>
      <c r="BE50" s="1127">
        <v>2046</v>
      </c>
      <c r="BH50" s="1075" t="s">
        <v>1725</v>
      </c>
      <c r="BJ50" s="1224" t="s">
        <v>1129</v>
      </c>
      <c r="BL50" s="1224" t="s">
        <v>1129</v>
      </c>
    </row>
    <row customHeight="1" ht="11.25">
      <c r="A51" s="1081" t="s">
        <v>1755</v>
      </c>
      <c r="E51" s="414" t="s">
        <v>1756</v>
      </c>
      <c r="F51" s="1122" t="s">
        <v>1757</v>
      </c>
      <c r="G51" s="1123" t="str">
        <f>_xlfn.IFERROR(IF(TITLE_PERIOD_START="","01.01."&amp;CURRENT_YEAR,"01.01."&amp;YEAR(TITLE_PERIOD_START)),"01.01."&amp;CURRENT_YEAR)</f>
        <v>01.01.2025</v>
      </c>
      <c r="H51" s="1123" t="str">
        <f>_xlfn.IFERROR(IF(TITLE_PERIOD_END="","31.12."&amp;CURRENT_YEAR,"31.12."&amp;YEAR(TITLE_PERIOD_END)),"31.12."&amp;CURRENT_YEAR)</f>
        <v>31.12.2025</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7" t="s">
        <v>1758</v>
      </c>
      <c r="AZ51" s="1127" t="s">
        <v>1511</v>
      </c>
      <c r="BE51" s="1127">
        <v>2047</v>
      </c>
      <c r="BH51" s="1075" t="s">
        <v>1734</v>
      </c>
      <c r="BJ51" s="1224" t="s">
        <v>1759</v>
      </c>
      <c r="BL51" s="1224" t="s">
        <v>1759</v>
      </c>
    </row>
    <row customHeight="1" ht="11.25">
      <c r="A52" s="1081" t="s">
        <v>1760</v>
      </c>
      <c r="E52" s="414" t="s">
        <v>1761</v>
      </c>
      <c r="F52" s="1122" t="s">
        <v>1762</v>
      </c>
      <c r="G52" s="1123" t="str">
        <f>_xlfn.IFERROR(IF(TITLE_PERIOD_START="","01.01."&amp;CURRENT_YEAR,"01.01."&amp;YEAR(TITLE_PERIOD_START)),"01.01."&amp;CURRENT_YEAR)</f>
        <v>01.01.2025</v>
      </c>
      <c r="H52" s="1123" t="str">
        <f>_xlfn.IFERROR(IF(TITLE_PERIOD_END="","31.12."&amp;CURRENT_YEAR,"31.12."&amp;YEAR(TITLE_PERIOD_END)),"31.12."&amp;CURRENT_YEAR)</f>
        <v>31.12.2025</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2"/>
      <c r="AX52" s="1127" t="s">
        <v>1763</v>
      </c>
      <c r="AZ52" s="1127" t="s">
        <v>1312</v>
      </c>
      <c r="BE52" s="1127">
        <v>2048</v>
      </c>
      <c r="BH52" s="1075" t="s">
        <v>1738</v>
      </c>
      <c r="BJ52" s="1224" t="s">
        <v>1140</v>
      </c>
      <c r="BL52" s="1224" t="s">
        <v>1140</v>
      </c>
    </row>
    <row customHeight="1" ht="11.25">
      <c r="A53" s="1081" t="s">
        <v>1764</v>
      </c>
      <c r="E53" s="414" t="s">
        <v>1765</v>
      </c>
      <c r="F53" s="1122" t="s">
        <v>1765</v>
      </c>
      <c r="G53" s="1123" t="str">
        <f>_xlfn.IFERROR(IF(f_year="","01.01."&amp;CURRENT_YEAR,"01.01."&amp;f_year),"01.01."&amp;CURRENT_YEAR)</f>
        <v>01.01.2024</v>
      </c>
      <c r="H53" s="1123" t="str">
        <f>_xlfn.IFERROR(IF(f_year="","31.12."&amp;CURRENT_YEAR,"31.12."&amp;f_year),"31.12."&amp;CURRENT_YEAR)</f>
        <v>31.12.2024</v>
      </c>
      <c r="I53" s="1748">
        <f>IF(AND(f_year="",TITLE_DATE_FIL=""),TRUE,FALSE)</f>
        <v>0</v>
      </c>
      <c r="J53" s="1751" t="s">
        <v>1766</v>
      </c>
      <c r="K53" s="1752"/>
      <c r="AX53" s="1127" t="s">
        <v>1767</v>
      </c>
      <c r="BE53" s="1127">
        <v>2049</v>
      </c>
      <c r="BH53" s="1075" t="s">
        <v>1742</v>
      </c>
      <c r="BJ53" s="1224" t="s">
        <v>1714</v>
      </c>
      <c r="BL53" s="1224" t="s">
        <v>1714</v>
      </c>
    </row>
    <row customHeight="1" ht="11.25">
      <c r="A54" s="1081" t="s">
        <v>1768</v>
      </c>
      <c r="AX54" s="1127" t="s">
        <v>1769</v>
      </c>
      <c r="AZ54" s="1074" t="s">
        <v>1770</v>
      </c>
      <c r="BE54" s="1127">
        <v>2050</v>
      </c>
      <c r="BH54" s="1075" t="s">
        <v>1747</v>
      </c>
      <c r="BJ54" s="1224" t="s">
        <v>1718</v>
      </c>
      <c r="BL54" s="1224" t="s">
        <v>1718</v>
      </c>
    </row>
    <row customHeight="1" ht="11.25">
      <c r="A55" s="1081" t="s">
        <v>1771</v>
      </c>
      <c r="AX55" s="1127" t="s">
        <v>1772</v>
      </c>
      <c r="AZ55" s="1127" t="s">
        <v>1314</v>
      </c>
      <c r="BE55" s="1127">
        <v>2051</v>
      </c>
      <c r="BH55" s="1077" t="s">
        <v>22</v>
      </c>
      <c r="BJ55" s="1224" t="s">
        <v>1141</v>
      </c>
      <c r="BL55" s="1224" t="s">
        <v>1141</v>
      </c>
    </row>
    <row customHeight="1" ht="11.25">
      <c r="A56" s="1081" t="s">
        <v>1773</v>
      </c>
      <c r="D56" s="1125" t="s">
        <v>1774</v>
      </c>
      <c r="E56" s="1102" t="s">
        <v>111</v>
      </c>
      <c r="F56" s="1081" t="s">
        <v>1775</v>
      </c>
      <c r="AX56" s="1127" t="s">
        <v>1776</v>
      </c>
      <c r="AZ56" s="1127" t="s">
        <v>1341</v>
      </c>
      <c r="BE56" s="1127">
        <v>2052</v>
      </c>
      <c r="BH56" s="1077" t="s">
        <v>22</v>
      </c>
      <c r="BJ56" s="1224" t="s">
        <v>1725</v>
      </c>
      <c r="BL56" s="1224" t="s">
        <v>1725</v>
      </c>
    </row>
    <row customHeight="1" ht="11.25">
      <c r="A57" s="1081" t="s">
        <v>1777</v>
      </c>
      <c r="D57" s="1125" t="s">
        <v>1778</v>
      </c>
      <c r="E57" s="1102" t="s">
        <v>111</v>
      </c>
      <c r="F57" s="1081" t="s">
        <v>1775</v>
      </c>
      <c r="AX57" s="1127" t="s">
        <v>1779</v>
      </c>
      <c r="AZ57" s="1127" t="s">
        <v>1375</v>
      </c>
      <c r="BE57" s="1127">
        <v>2053</v>
      </c>
      <c r="BJ57" s="1224" t="s">
        <v>1734</v>
      </c>
      <c r="BL57" s="1224" t="s">
        <v>1734</v>
      </c>
    </row>
    <row customHeight="1" ht="11.25">
      <c r="A58" s="1081" t="s">
        <v>1780</v>
      </c>
      <c r="D58" s="1125" t="s">
        <v>1781</v>
      </c>
      <c r="E58" s="1102" t="s">
        <v>1767</v>
      </c>
      <c r="F58" s="1081" t="s">
        <v>1775</v>
      </c>
      <c r="AX58" s="1127" t="s">
        <v>1782</v>
      </c>
      <c r="BE58" s="1127">
        <v>2054</v>
      </c>
      <c r="BJ58" s="1224" t="s">
        <v>1738</v>
      </c>
      <c r="BL58" s="1224" t="s">
        <v>1738</v>
      </c>
    </row>
    <row customHeight="1" ht="11.25">
      <c r="A59" s="1081" t="s">
        <v>1783</v>
      </c>
      <c r="D59" s="1125" t="s">
        <v>132</v>
      </c>
      <c r="E59" s="1102" t="s">
        <v>1671</v>
      </c>
      <c r="F59" s="1081" t="s">
        <v>1784</v>
      </c>
      <c r="AX59" s="1127" t="s">
        <v>1785</v>
      </c>
      <c r="AZ59" s="1074" t="s">
        <v>1786</v>
      </c>
      <c r="BE59" s="1127">
        <v>2055</v>
      </c>
      <c r="BJ59" s="1224" t="s">
        <v>1742</v>
      </c>
      <c r="BL59" s="1224" t="s">
        <v>1742</v>
      </c>
    </row>
    <row customHeight="1" ht="11.25">
      <c r="A60" s="1081" t="s">
        <v>1787</v>
      </c>
      <c r="D60" s="1125" t="s">
        <v>1788</v>
      </c>
      <c r="E60" s="1102" t="s">
        <v>1671</v>
      </c>
      <c r="F60" s="1081" t="s">
        <v>1784</v>
      </c>
      <c r="AX60" s="1127" t="s">
        <v>1789</v>
      </c>
      <c r="AZ60" s="1127" t="s">
        <v>1315</v>
      </c>
      <c r="BE60" s="1127">
        <v>2056</v>
      </c>
      <c r="BJ60" s="1224" t="s">
        <v>1747</v>
      </c>
      <c r="BL60" s="1224" t="s">
        <v>1747</v>
      </c>
    </row>
    <row customHeight="1" ht="11.25">
      <c r="A61" s="1081" t="s">
        <v>1790</v>
      </c>
      <c r="D61" s="1125" t="s">
        <v>1791</v>
      </c>
      <c r="E61" s="1102" t="s">
        <v>1671</v>
      </c>
      <c r="F61" s="1081" t="s">
        <v>1784</v>
      </c>
      <c r="AX61" s="1127" t="s">
        <v>1792</v>
      </c>
      <c r="AZ61" s="1127" t="s">
        <v>1342</v>
      </c>
      <c r="BE61" s="1127">
        <v>2057</v>
      </c>
      <c r="BL61" s="1224" t="s">
        <v>1133</v>
      </c>
    </row>
    <row customHeight="1" ht="11.25">
      <c r="A62" s="1081" t="s">
        <v>1793</v>
      </c>
      <c r="D62" s="1125" t="s">
        <v>131</v>
      </c>
      <c r="E62" s="1102">
        <v>30</v>
      </c>
      <c r="F62" s="1081" t="s">
        <v>1784</v>
      </c>
      <c r="AZ62" s="1127" t="s">
        <v>1376</v>
      </c>
      <c r="BE62" s="1127">
        <v>2058</v>
      </c>
      <c r="BL62" s="1224" t="s">
        <v>1135</v>
      </c>
    </row>
    <row customHeight="1" ht="11.25">
      <c r="A63" s="1081" t="s">
        <v>1794</v>
      </c>
      <c r="D63" s="1125" t="s">
        <v>1795</v>
      </c>
      <c r="E63" s="1102">
        <v>30</v>
      </c>
      <c r="F63" s="1081" t="s">
        <v>1784</v>
      </c>
      <c r="AZ63" s="1127" t="s">
        <v>1408</v>
      </c>
      <c r="BE63" s="1127">
        <v>2059</v>
      </c>
    </row>
    <row customHeight="1" ht="11.25">
      <c r="A64" s="1081" t="s">
        <v>1796</v>
      </c>
      <c r="D64" s="1125" t="s">
        <v>1797</v>
      </c>
      <c r="E64" s="1102">
        <v>30</v>
      </c>
      <c r="F64" s="1081" t="s">
        <v>1784</v>
      </c>
      <c r="AZ64" s="1127" t="s">
        <v>1431</v>
      </c>
      <c r="BE64" s="1127">
        <v>2060</v>
      </c>
    </row>
    <row customHeight="1" ht="11.25">
      <c r="A65" s="1081" t="s">
        <v>1798</v>
      </c>
      <c r="D65" s="1081"/>
      <c r="BE65" s="1127">
        <v>2061</v>
      </c>
    </row>
    <row customHeight="1" ht="11.25">
      <c r="A66" s="1081" t="s">
        <v>1799</v>
      </c>
      <c r="AZ66" s="1074" t="s">
        <v>1800</v>
      </c>
      <c r="BE66" s="1127">
        <v>2062</v>
      </c>
    </row>
    <row customHeight="1" ht="11.25">
      <c r="A67" s="1081" t="s">
        <v>1801</v>
      </c>
      <c r="AZ67" s="1127" t="s">
        <v>1316</v>
      </c>
      <c r="BE67" s="1127">
        <v>2063</v>
      </c>
    </row>
    <row customHeight="1" ht="11.25">
      <c r="A68" s="1081" t="s">
        <v>1802</v>
      </c>
      <c r="AZ68" s="1127" t="s">
        <v>1343</v>
      </c>
      <c r="BE68" s="1127">
        <v>2064</v>
      </c>
      <c r="BH68" s="1074" t="s">
        <v>1803</v>
      </c>
      <c r="BJ68" s="1074" t="s">
        <v>1804</v>
      </c>
      <c r="BL68" s="1074" t="s">
        <v>1805</v>
      </c>
      <c r="BN68" s="1074" t="s">
        <v>1806</v>
      </c>
    </row>
    <row customHeight="1" ht="11.25">
      <c r="A69" s="1081" t="s">
        <v>1807</v>
      </c>
      <c r="AZ69" s="1127" t="s">
        <v>1377</v>
      </c>
      <c r="BE69" s="1127">
        <v>2065</v>
      </c>
      <c r="BH69" s="1075" t="s">
        <v>1808</v>
      </c>
      <c r="BI69" s="1124" t="s">
        <v>109</v>
      </c>
      <c r="BJ69" s="1075" t="s">
        <v>1809</v>
      </c>
      <c r="BK69" s="1124" t="s">
        <v>109</v>
      </c>
      <c r="BL69" s="1075" t="s">
        <v>1810</v>
      </c>
      <c r="BM69" s="1077" t="s">
        <v>109</v>
      </c>
      <c r="BN69" s="1075" t="s">
        <v>1811</v>
      </c>
    </row>
    <row customHeight="1" ht="11.25">
      <c r="A70" s="1081" t="s">
        <v>1812</v>
      </c>
      <c r="AZ70" s="1127" t="s">
        <v>1409</v>
      </c>
      <c r="BE70" s="1127">
        <v>2066</v>
      </c>
      <c r="BH70" s="1075" t="s">
        <v>1813</v>
      </c>
      <c r="BJ70" s="1075" t="s">
        <v>1814</v>
      </c>
      <c r="BL70" s="1075" t="s">
        <v>1815</v>
      </c>
      <c r="BN70" s="1075" t="s">
        <v>1816</v>
      </c>
    </row>
    <row customHeight="1" ht="11.25">
      <c r="A71" s="1081" t="s">
        <v>1817</v>
      </c>
      <c r="AZ71" s="1127" t="s">
        <v>1411</v>
      </c>
      <c r="BE71" s="1127">
        <v>2067</v>
      </c>
      <c r="BH71" s="1075" t="s">
        <v>1818</v>
      </c>
      <c r="BI71" s="1124" t="s">
        <v>89</v>
      </c>
      <c r="BJ71" s="1075" t="s">
        <v>1819</v>
      </c>
      <c r="BK71" s="1124" t="s">
        <v>89</v>
      </c>
      <c r="BL71" s="1075" t="s">
        <v>1820</v>
      </c>
      <c r="BM71" s="1077" t="s">
        <v>89</v>
      </c>
      <c r="BN71" s="1075" t="s">
        <v>1821</v>
      </c>
    </row>
    <row customHeight="1" ht="11.25">
      <c r="A72" s="1081" t="s">
        <v>1822</v>
      </c>
      <c r="AZ72" s="1127" t="s">
        <v>19</v>
      </c>
      <c r="BE72" s="1127">
        <v>2068</v>
      </c>
      <c r="BH72" s="1075" t="s">
        <v>1823</v>
      </c>
      <c r="BJ72" s="1075" t="s">
        <v>1823</v>
      </c>
      <c r="BL72" s="1075" t="s">
        <v>1823</v>
      </c>
      <c r="BN72" s="1075" t="s">
        <v>1824</v>
      </c>
    </row>
    <row customHeight="1" ht="11.25">
      <c r="A73" s="1081" t="s">
        <v>1825</v>
      </c>
      <c r="BE73" s="1127">
        <v>2069</v>
      </c>
      <c r="BH73" s="1075" t="s">
        <v>1826</v>
      </c>
      <c r="BI73" s="1124" t="s">
        <v>111</v>
      </c>
      <c r="BJ73" s="1075" t="s">
        <v>1827</v>
      </c>
      <c r="BK73" s="1124" t="s">
        <v>111</v>
      </c>
      <c r="BL73" s="1075" t="s">
        <v>1828</v>
      </c>
      <c r="BM73" s="1077" t="s">
        <v>111</v>
      </c>
      <c r="BN73" s="1075" t="s">
        <v>1829</v>
      </c>
    </row>
    <row customHeight="1" ht="11.25">
      <c r="A74" s="1081" t="s">
        <v>1830</v>
      </c>
      <c r="BE74" s="1127">
        <v>2070</v>
      </c>
      <c r="BH74" s="1075" t="s">
        <v>1831</v>
      </c>
      <c r="BJ74" s="1075" t="s">
        <v>1832</v>
      </c>
      <c r="BL74" s="1075" t="s">
        <v>1833</v>
      </c>
      <c r="BN74" s="1075" t="s">
        <v>1834</v>
      </c>
    </row>
    <row customHeight="1" ht="11.25">
      <c r="A75" s="1081" t="s">
        <v>1835</v>
      </c>
      <c r="AZ75" s="1074" t="s">
        <v>1836</v>
      </c>
      <c r="BH75" s="1075" t="s">
        <v>1837</v>
      </c>
      <c r="BJ75" s="1075" t="s">
        <v>1837</v>
      </c>
      <c r="BL75" s="1075" t="s">
        <v>1837</v>
      </c>
    </row>
    <row customHeight="1" ht="11.25">
      <c r="A76" s="1081" t="s">
        <v>1838</v>
      </c>
      <c r="AZ76" s="1127" t="s">
        <v>1325</v>
      </c>
      <c r="BH76" s="1075" t="s">
        <v>1839</v>
      </c>
      <c r="BJ76" s="1075" t="s">
        <v>1840</v>
      </c>
      <c r="BL76" s="1075" t="s">
        <v>1841</v>
      </c>
    </row>
    <row customHeight="1" ht="11.25">
      <c r="A77" s="1081" t="s">
        <v>1842</v>
      </c>
      <c r="AZ77" s="1127" t="s">
        <v>1353</v>
      </c>
    </row>
    <row customHeight="1" ht="11.25">
      <c r="A78" s="1081" t="s">
        <v>1843</v>
      </c>
      <c r="AZ78" s="1127" t="s">
        <v>1384</v>
      </c>
    </row>
    <row customHeight="1" ht="11.25">
      <c r="A79" s="1081" t="s">
        <v>1844</v>
      </c>
      <c r="AZ79" s="1127" t="s">
        <v>1415</v>
      </c>
      <c r="BH79" s="1074" t="s">
        <v>1845</v>
      </c>
      <c r="BJ79" s="1074" t="s">
        <v>1846</v>
      </c>
      <c r="BL79" s="1074" t="s">
        <v>1847</v>
      </c>
    </row>
    <row customHeight="1" ht="11.25">
      <c r="A80" s="1081" t="s">
        <v>1848</v>
      </c>
      <c r="AZ80" s="1127" t="s">
        <v>1436</v>
      </c>
      <c r="BH80" s="1075" t="s">
        <v>1849</v>
      </c>
      <c r="BJ80" s="1075" t="s">
        <v>1850</v>
      </c>
      <c r="BL80" s="1075" t="s">
        <v>1851</v>
      </c>
    </row>
    <row customHeight="1" ht="11.25">
      <c r="A81" s="1081" t="s">
        <v>1852</v>
      </c>
      <c r="AZ81" s="1127" t="s">
        <v>1453</v>
      </c>
      <c r="BH81" s="1075" t="s">
        <v>1853</v>
      </c>
      <c r="BJ81" s="1075" t="s">
        <v>1854</v>
      </c>
      <c r="BL81" s="1075" t="s">
        <v>1855</v>
      </c>
    </row>
    <row customHeight="1" ht="11.25">
      <c r="A82" s="1081" t="s">
        <v>1856</v>
      </c>
      <c r="AZ82" s="1127" t="s">
        <v>1468</v>
      </c>
      <c r="BH82" s="1075" t="s">
        <v>1857</v>
      </c>
      <c r="BJ82" s="1075" t="s">
        <v>1858</v>
      </c>
      <c r="BL82" s="1075" t="s">
        <v>1859</v>
      </c>
    </row>
    <row customHeight="1" ht="11.25">
      <c r="A83" s="1081" t="s">
        <v>1860</v>
      </c>
      <c r="BH83" s="1075" t="s">
        <v>1861</v>
      </c>
      <c r="BJ83" s="1075" t="s">
        <v>1862</v>
      </c>
      <c r="BL83" s="1075" t="s">
        <v>1863</v>
      </c>
    </row>
    <row customHeight="1" ht="11.25">
      <c r="A84" s="1081" t="s">
        <v>1864</v>
      </c>
      <c r="AZ84" s="1074" t="s">
        <v>1865</v>
      </c>
    </row>
    <row customHeight="1" ht="11.25">
      <c r="A85" s="1874" t="s">
        <v>1866</v>
      </c>
      <c r="AZ85" s="1127" t="s">
        <v>1867</v>
      </c>
    </row>
    <row customHeight="1" ht="11.25">
      <c r="A86" s="1081" t="s">
        <v>1868</v>
      </c>
      <c r="AZ86" s="1127" t="s">
        <v>1869</v>
      </c>
      <c r="BH86" s="1074" t="s">
        <v>1870</v>
      </c>
      <c r="BJ86" s="1074" t="s">
        <v>1871</v>
      </c>
      <c r="BL86" s="1074" t="s">
        <v>1872</v>
      </c>
    </row>
    <row customHeight="1" ht="11.25">
      <c r="A87" s="1081" t="s">
        <v>1873</v>
      </c>
      <c r="AZ87" s="1127" t="s">
        <v>1874</v>
      </c>
      <c r="BH87" s="1075" t="s">
        <v>1875</v>
      </c>
      <c r="BJ87" s="1075" t="s">
        <v>1876</v>
      </c>
      <c r="BL87" s="1075" t="s">
        <v>1877</v>
      </c>
    </row>
    <row customHeight="1" ht="11.25">
      <c r="A88" s="1081" t="s">
        <v>1878</v>
      </c>
      <c r="AZ88" s="1613"/>
      <c r="BH88" s="1075" t="s">
        <v>1879</v>
      </c>
      <c r="BJ88" s="1075" t="s">
        <v>1880</v>
      </c>
      <c r="BL88" s="1075" t="s">
        <v>1881</v>
      </c>
    </row>
    <row customHeight="1" ht="11.25">
      <c r="A89" s="1081" t="s">
        <v>1882</v>
      </c>
      <c r="AZ89" s="1074" t="s">
        <v>1883</v>
      </c>
    </row>
    <row customHeight="1" ht="11.25">
      <c r="A90" s="1081" t="s">
        <v>1884</v>
      </c>
      <c r="AZ90" s="1127" t="s">
        <v>1111</v>
      </c>
    </row>
    <row customHeight="1" ht="11.25">
      <c r="A91" s="1081" t="s">
        <v>1885</v>
      </c>
      <c r="AZ91" s="1127" t="s">
        <v>1147</v>
      </c>
      <c r="BH91" s="1074" t="s">
        <v>1886</v>
      </c>
      <c r="BJ91" s="1074" t="s">
        <v>1887</v>
      </c>
      <c r="BL91" s="1074" t="s">
        <v>1888</v>
      </c>
    </row>
    <row customHeight="1" ht="11.25">
      <c r="AZ92" s="1127" t="s">
        <v>1889</v>
      </c>
      <c r="BH92" s="1075" t="s">
        <v>1890</v>
      </c>
      <c r="BJ92" s="1075" t="s">
        <v>1891</v>
      </c>
      <c r="BL92" s="1075" t="s">
        <v>1892</v>
      </c>
    </row>
    <row customHeight="1" ht="11.25">
      <c r="AZ93" s="1127" t="s">
        <v>1893</v>
      </c>
      <c r="BH93" s="1075" t="s">
        <v>1894</v>
      </c>
      <c r="BJ93" s="1075" t="s">
        <v>1895</v>
      </c>
      <c r="BL93" s="1075" t="s">
        <v>1896</v>
      </c>
    </row>
    <row customHeight="1" ht="11.25">
      <c r="AZ94" s="1127" t="s">
        <v>1897</v>
      </c>
    </row>
    <row r="96" customHeight="1" ht="11.25">
      <c r="AZ96" s="1074" t="s">
        <v>1898</v>
      </c>
      <c r="BH96" s="1074" t="s">
        <v>1899</v>
      </c>
      <c r="BJ96" s="1074" t="s">
        <v>1900</v>
      </c>
      <c r="BL96" s="1074" t="s">
        <v>1901</v>
      </c>
      <c r="BN96" s="1074" t="s">
        <v>1902</v>
      </c>
    </row>
    <row customHeight="1" ht="11.25">
      <c r="AZ97" s="1905" t="s">
        <v>1903</v>
      </c>
      <c r="BA97" s="1906" t="s">
        <v>1904</v>
      </c>
      <c r="BH97" s="1075" t="s">
        <v>1905</v>
      </c>
      <c r="BJ97" s="1075" t="s">
        <v>1906</v>
      </c>
      <c r="BL97" s="1075" t="s">
        <v>1907</v>
      </c>
      <c r="BN97" s="1075" t="s">
        <v>1908</v>
      </c>
    </row>
    <row customHeight="1" ht="11.25">
      <c r="AZ98" s="1905" t="s">
        <v>1909</v>
      </c>
      <c r="BA98" s="1906" t="s">
        <v>1910</v>
      </c>
      <c r="BH98" s="1075" t="s">
        <v>1911</v>
      </c>
      <c r="BJ98" s="1075" t="s">
        <v>1912</v>
      </c>
      <c r="BL98" s="1075" t="s">
        <v>1913</v>
      </c>
      <c r="BN98" s="1075" t="s">
        <v>1914</v>
      </c>
    </row>
    <row customHeight="1" ht="22.5">
      <c r="AZ99" s="1905" t="s">
        <v>1915</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1916</v>
      </c>
      <c r="BJ99" s="1075" t="s">
        <v>1917</v>
      </c>
      <c r="BL99" s="1075" t="s">
        <v>1918</v>
      </c>
      <c r="BN99" s="1075" t="s">
        <v>1919</v>
      </c>
    </row>
    <row customHeight="1" ht="22.5">
      <c r="AZ100" s="1905" t="s">
        <v>1920</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5" t="s">
        <v>1511</v>
      </c>
      <c r="BL100" s="1075" t="s">
        <v>1511</v>
      </c>
      <c r="BN100" s="1075" t="s">
        <v>1921</v>
      </c>
    </row>
    <row customHeight="1" ht="22.5">
      <c r="AZ101" s="1905" t="s">
        <v>1922</v>
      </c>
      <c r="BA101" s="1906" t="s">
        <v>1923</v>
      </c>
      <c r="BN101" s="1075" t="s">
        <v>1924</v>
      </c>
    </row>
    <row customHeight="1" ht="22.5">
      <c r="AZ102" s="1905" t="s">
        <v>1925</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5" t="s">
        <v>1926</v>
      </c>
    </row>
    <row customHeight="1" ht="11.25">
      <c r="AZ103" s="1905" t="s">
        <v>1927</v>
      </c>
      <c r="BA103" s="1906" t="s">
        <v>1928</v>
      </c>
      <c r="BN103" s="1075" t="s">
        <v>1929</v>
      </c>
    </row>
    <row customHeight="1" ht="11.25">
      <c r="BN104" s="1075" t="s">
        <v>1930</v>
      </c>
    </row>
    <row customHeight="1" ht="11.25">
      <c r="AZ105" s="1698" t="s">
        <v>1931</v>
      </c>
    </row>
    <row customHeight="1" ht="11.25">
      <c r="AZ106" s="1127" t="s">
        <v>1932</v>
      </c>
    </row>
    <row customHeight="1" ht="11.25">
      <c r="AZ107" s="1127" t="s">
        <v>1933</v>
      </c>
      <c r="BH107" s="1074" t="s">
        <v>1934</v>
      </c>
      <c r="BJ107" s="1074" t="s">
        <v>1935</v>
      </c>
      <c r="BL107" s="1074" t="s">
        <v>1936</v>
      </c>
      <c r="BN107" s="1074" t="s">
        <v>1937</v>
      </c>
    </row>
    <row customHeight="1" ht="11.25">
      <c r="AZ108" s="1127" t="s">
        <v>570</v>
      </c>
      <c r="BH108" s="1075" t="s">
        <v>1938</v>
      </c>
      <c r="BJ108" s="1075" t="s">
        <v>1939</v>
      </c>
      <c r="BL108" s="1075" t="s">
        <v>1593</v>
      </c>
      <c r="BN108" s="1075" t="s">
        <v>1940</v>
      </c>
    </row>
    <row customHeight="1" ht="11.25">
      <c r="BH109" s="1075" t="s">
        <v>1941</v>
      </c>
    </row>
    <row customHeight="1" ht="11.25">
      <c r="AZ110" s="1698" t="s">
        <v>1942</v>
      </c>
      <c r="BH110" s="1075" t="s">
        <v>1941</v>
      </c>
    </row>
    <row customHeight="1" ht="11.25">
      <c r="AZ111" s="1905" t="s">
        <v>1903</v>
      </c>
      <c r="BA111" s="1906" t="s">
        <v>1904</v>
      </c>
    </row>
    <row customHeight="1" ht="11.25">
      <c r="AZ112" s="1905" t="s">
        <v>1909</v>
      </c>
      <c r="BA112" s="1906" t="s">
        <v>1910</v>
      </c>
    </row>
    <row customHeight="1" ht="22.5">
      <c r="AZ113" s="1905" t="s">
        <v>1915</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1920</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4" t="s">
        <v>1943</v>
      </c>
    </row>
    <row customHeight="1" ht="22.5">
      <c r="AZ115" s="1905" t="s">
        <v>1925</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5" t="s">
        <v>1312</v>
      </c>
    </row>
    <row customHeight="1" ht="11.25">
      <c r="AZ116" s="1905" t="s">
        <v>1927</v>
      </c>
      <c r="BA116" s="1906" t="s">
        <v>1928</v>
      </c>
      <c r="BH116" s="1075" t="s">
        <v>1339</v>
      </c>
    </row>
    <row customHeight="1" ht="11.25">
      <c r="BH117" s="1075" t="s">
        <v>1373</v>
      </c>
    </row>
    <row customHeight="1" ht="11.25">
      <c r="BH118" s="1075" t="s">
        <v>1406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6B6ED-C7A5-689D-5B23-0.5A87D0ED}"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298</v>
      </c>
      <c r="J1" s="462" t="s">
        <v>14</v>
      </c>
    </row>
    <row customHeight="1" ht="22.5" hidden="1">
      <c r="A2" s="509"/>
      <c r="B2" s="509"/>
      <c r="C2" s="1736" t="s">
        <v>576</v>
      </c>
      <c r="D2" s="1527"/>
      <c r="E2" s="1533"/>
      <c r="F2" s="1556"/>
      <c r="H2" s="482"/>
      <c r="J2" s="462">
        <v>0</v>
      </c>
    </row>
    <row customHeight="1" ht="11.25" hidden="1">
      <c r="J3" s="462">
        <v>0</v>
      </c>
    </row>
    <row customHeight="1" ht="11.549999999999999">
      <c r="A4" s="1557"/>
      <c r="B4" s="1557"/>
      <c r="J4" s="462">
        <v>11</v>
      </c>
    </row>
    <row customHeight="1" ht="27.299999999999997">
      <c r="D5" s="22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9"/>
      <c r="F5" s="2260"/>
      <c r="I5" s="722"/>
      <c r="J5" s="462">
        <v>26</v>
      </c>
    </row>
    <row customHeight="1" ht="18">
      <c r="D6" s="2196" t="str">
        <f>IF(region_name=0,"Не определено",region_name)</f>
        <v>Ненецкий автономный округ</v>
      </c>
      <c r="E6" s="2196"/>
      <c r="F6" s="2196"/>
      <c r="I6" s="722"/>
      <c r="J6" s="462">
        <v>17</v>
      </c>
    </row>
    <row s="484" customFormat="1" customHeight="1" ht="11.549999999999999">
      <c r="A7" s="508"/>
      <c r="B7" s="508"/>
      <c r="D7" s="721"/>
      <c r="E7" s="721"/>
      <c r="F7" s="759"/>
      <c r="G7" s="721"/>
      <c r="J7" s="484">
        <v>11</v>
      </c>
    </row>
    <row customHeight="1" ht="11.25" hidden="1">
      <c r="A8" s="509"/>
      <c r="B8" s="509"/>
      <c r="C8" s="464"/>
      <c r="D8" s="470"/>
      <c r="E8" s="2227"/>
      <c r="F8" s="2227"/>
      <c r="J8" s="462">
        <v>0</v>
      </c>
    </row>
    <row customHeight="1" ht="11.549999999999999">
      <c r="A9" s="509"/>
      <c r="B9" s="509"/>
      <c r="C9" s="464"/>
      <c r="D9" s="2224" t="s">
        <v>299</v>
      </c>
      <c r="E9" s="2225"/>
      <c r="F9" s="2225"/>
      <c r="G9" s="2228" t="s">
        <v>300</v>
      </c>
      <c r="J9" s="462">
        <v>11</v>
      </c>
    </row>
    <row customHeight="1" ht="11.549999999999999">
      <c r="A10" s="509"/>
      <c r="B10" s="509"/>
      <c r="C10" s="464"/>
      <c r="D10" s="1481" t="s">
        <v>87</v>
      </c>
      <c r="E10" s="1483" t="s">
        <v>301</v>
      </c>
      <c r="F10" s="1483" t="s">
        <v>302</v>
      </c>
      <c r="G10" s="2229"/>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ИМУП «ПОСЖИЛКОМСЕРВИС»</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0"/>
      <c r="J12" s="462">
        <v>23</v>
      </c>
    </row>
    <row customHeight="1" ht="19.95">
      <c r="A13" s="509"/>
      <c r="B13" s="509"/>
      <c r="C13" s="464"/>
      <c r="D13" s="1527">
        <v>2</v>
      </c>
      <c r="E13" s="1534" t="s">
        <v>1944</v>
      </c>
      <c r="F13" s="1528" t="s">
        <v>305</v>
      </c>
      <c r="G13" s="481"/>
      <c r="H13" s="1540"/>
      <c r="J13" s="462">
        <v>19</v>
      </c>
    </row>
    <row customHeight="1" ht="19.95">
      <c r="A14" s="509"/>
      <c r="B14" s="509"/>
      <c r="C14" s="464"/>
      <c r="D14" s="1530" t="s">
        <v>737</v>
      </c>
      <c r="E14" s="1531" t="s">
        <v>1945</v>
      </c>
      <c r="F14" s="1533"/>
      <c r="G14" s="1532" t="s">
        <v>1946</v>
      </c>
      <c r="H14" s="1540"/>
      <c r="J14" s="462">
        <v>19</v>
      </c>
    </row>
    <row customHeight="1" ht="19.95">
      <c r="A15" s="509"/>
      <c r="B15" s="509"/>
      <c r="C15" s="464"/>
      <c r="D15" s="1530" t="s">
        <v>306</v>
      </c>
      <c r="E15" s="1531" t="s">
        <v>1947</v>
      </c>
      <c r="F15" s="1533"/>
      <c r="G15" s="1532" t="s">
        <v>1948</v>
      </c>
      <c r="H15" s="1540"/>
      <c r="J15" s="462">
        <v>19</v>
      </c>
    </row>
    <row customHeight="1" ht="24">
      <c r="A16" s="509"/>
      <c r="B16" s="509"/>
      <c r="C16" s="464"/>
      <c r="D16" s="1530" t="s">
        <v>309</v>
      </c>
      <c r="E16" s="1529" t="s">
        <v>1949</v>
      </c>
      <c r="F16" s="1538"/>
      <c r="G16" s="481" t="s">
        <v>1950</v>
      </c>
      <c r="H16" s="1540"/>
      <c r="J16" s="462">
        <v>23</v>
      </c>
    </row>
    <row customHeight="1" ht="48.29999999999999">
      <c r="A17" s="509"/>
      <c r="B17" s="509"/>
      <c r="C17" s="464"/>
      <c r="D17" s="1527">
        <v>3</v>
      </c>
      <c r="E17" s="1534" t="s">
        <v>1951</v>
      </c>
      <c r="F17" s="1533"/>
      <c r="G17" s="481" t="s">
        <v>1952</v>
      </c>
      <c r="H17" s="1540"/>
      <c r="J17" s="462">
        <v>46</v>
      </c>
    </row>
    <row customHeight="1" ht="48.29999999999999">
      <c r="A18" s="1482">
        <v>1</v>
      </c>
      <c r="B18" s="509"/>
      <c r="C18" s="1484"/>
      <c r="D18" s="1527" t="s">
        <v>90</v>
      </c>
      <c r="E18" s="1534" t="s">
        <v>1953</v>
      </c>
      <c r="F18" s="1533"/>
      <c r="G18" s="481" t="s">
        <v>1952</v>
      </c>
      <c r="H18" s="1540"/>
      <c r="I18" s="859"/>
      <c r="J18" s="462">
        <v>46</v>
      </c>
    </row>
    <row customHeight="1" ht="23.25">
      <c r="A19" s="509"/>
      <c r="B19" s="509"/>
      <c r="C19" s="464"/>
      <c r="D19" s="1527" t="s">
        <v>111</v>
      </c>
      <c r="E19" s="1534" t="s">
        <v>1954</v>
      </c>
      <c r="F19" s="1528" t="s">
        <v>305</v>
      </c>
      <c r="G19" s="2491" t="s">
        <v>1955</v>
      </c>
      <c r="H19" s="482"/>
      <c r="J19" s="462">
        <v>22</v>
      </c>
    </row>
    <row s="1537" customFormat="1" customHeight="1" ht="5.25" hidden="1">
      <c r="A20" s="509"/>
      <c r="B20" s="509"/>
      <c r="C20" s="1536"/>
      <c r="D20" s="1535" t="s">
        <v>1211</v>
      </c>
      <c r="E20" s="1021"/>
      <c r="F20" s="1020"/>
      <c r="G20" s="2492"/>
      <c r="J20" s="1537">
        <v>0</v>
      </c>
    </row>
    <row customHeight="1" ht="15.75">
      <c r="A21" s="509"/>
      <c r="B21" s="509"/>
      <c r="C21" s="464"/>
      <c r="D21" s="474"/>
      <c r="E21" s="422" t="s">
        <v>338</v>
      </c>
      <c r="F21" s="476"/>
      <c r="G21" s="2493"/>
      <c r="H21" s="1540"/>
      <c r="J21" s="462">
        <v>15</v>
      </c>
    </row>
    <row s="508" customFormat="1" customHeight="1" ht="26.25">
      <c r="A22" s="509"/>
      <c r="B22" s="509"/>
      <c r="C22" s="509"/>
      <c r="D22" s="1527" t="s">
        <v>91</v>
      </c>
      <c r="E22" s="481" t="s">
        <v>1956</v>
      </c>
      <c r="F22" s="1533"/>
      <c r="G22" s="481" t="s">
        <v>1957</v>
      </c>
      <c r="H22" s="1539"/>
      <c r="J22" s="508">
        <v>25</v>
      </c>
    </row>
    <row s="508" customFormat="1" customHeight="1" ht="19.95">
      <c r="A23" s="509"/>
      <c r="B23" s="509"/>
      <c r="C23" s="509"/>
      <c r="D23" s="1527" t="s">
        <v>92</v>
      </c>
      <c r="E23" s="1534" t="s">
        <v>1958</v>
      </c>
      <c r="F23" s="1538"/>
      <c r="G23" s="481" t="s">
        <v>1959</v>
      </c>
      <c r="H23" s="1539"/>
      <c r="J23" s="508">
        <v>19</v>
      </c>
    </row>
    <row s="508" customFormat="1" customHeight="1" ht="144" hidden="1">
      <c r="A24" s="509"/>
      <c r="B24" s="509"/>
      <c r="C24" s="509"/>
      <c r="D24" s="1527"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9"/>
      <c r="J24" s="508">
        <v>0</v>
      </c>
    </row>
    <row customHeight="1" ht="11.25" hidden="1">
      <c r="A25" s="508" t="s">
        <v>81</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C6E41-7787-6873-E915-0.238CF724}"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1960</v>
      </c>
      <c r="G1" s="1638" t="s">
        <v>47</v>
      </c>
      <c r="H1" s="1638" t="s">
        <v>49</v>
      </c>
      <c r="IU1" s="1162" t="s">
        <v>14</v>
      </c>
    </row>
    <row s="1854" customFormat="1" customHeight="1" ht="22.5" hidden="1">
      <c r="A2" s="838"/>
      <c r="B2" s="1167">
        <v>1</v>
      </c>
      <c r="C2" s="1167"/>
      <c r="D2" s="1932" t="s">
        <v>576</v>
      </c>
      <c r="E2" s="1491"/>
      <c r="F2" s="1498"/>
      <c r="G2" s="1498"/>
      <c r="H2" s="1498"/>
      <c r="I2" s="1988"/>
      <c r="J2" s="1989"/>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82</v>
      </c>
      <c r="G3" s="501" t="s">
        <v>83</v>
      </c>
      <c r="H3" s="501"/>
      <c r="I3" s="501"/>
      <c r="J3" s="234" t="s">
        <v>84</v>
      </c>
      <c r="K3" s="254" t="s">
        <v>82</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5"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5" customFormat="1" customHeight="1" ht="27.299999999999997">
      <c r="A5" s="1162"/>
      <c r="B5" s="1167"/>
      <c r="C5" s="1162"/>
      <c r="D5" s="1502"/>
      <c r="E5" s="21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0"/>
      <c r="G5" s="2120"/>
      <c r="H5" s="2120"/>
      <c r="I5" s="2120"/>
      <c r="J5" s="2120"/>
      <c r="K5" s="254"/>
      <c r="L5" s="507"/>
      <c r="M5" s="507"/>
      <c r="N5" s="507"/>
      <c r="O5" s="233"/>
      <c r="P5" s="507"/>
      <c r="Q5" s="232"/>
      <c r="R5" s="232"/>
      <c r="S5" s="232"/>
      <c r="T5" s="232"/>
      <c r="IU5" s="514">
        <v>26</v>
      </c>
    </row>
    <row s="1825"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5" customFormat="1" customHeight="1" ht="14.699999999999998">
      <c r="A7" s="1162"/>
      <c r="B7" s="1167"/>
      <c r="C7" s="1162"/>
      <c r="D7" s="1502"/>
      <c r="E7" s="2121" t="s">
        <v>299</v>
      </c>
      <c r="F7" s="2122"/>
      <c r="G7" s="2122"/>
      <c r="H7" s="2122"/>
      <c r="I7" s="2122"/>
      <c r="J7" s="2494" t="s">
        <v>300</v>
      </c>
      <c r="K7" s="507"/>
      <c r="L7" s="507"/>
      <c r="M7" s="507"/>
      <c r="N7" s="507"/>
      <c r="O7" s="233"/>
      <c r="P7" s="507"/>
      <c r="Q7" s="232"/>
      <c r="R7" s="232"/>
      <c r="S7" s="232"/>
      <c r="T7" s="232"/>
      <c r="IU7" s="514">
        <v>14</v>
      </c>
    </row>
    <row s="1825" customFormat="1" customHeight="1" ht="21">
      <c r="A8" s="1162"/>
      <c r="B8" s="1167"/>
      <c r="C8" s="1162"/>
      <c r="D8" s="1502"/>
      <c r="E8" s="1555" t="s">
        <v>87</v>
      </c>
      <c r="F8" s="1547" t="s">
        <v>1960</v>
      </c>
      <c r="G8" s="1547" t="s">
        <v>47</v>
      </c>
      <c r="H8" s="1547" t="s">
        <v>49</v>
      </c>
      <c r="I8" s="1547" t="s">
        <v>1961</v>
      </c>
      <c r="J8" s="2495"/>
      <c r="K8" s="507"/>
      <c r="L8" s="507"/>
      <c r="M8" s="507"/>
      <c r="N8" s="507"/>
      <c r="O8" s="233"/>
      <c r="P8" s="507"/>
      <c r="Q8" s="232"/>
      <c r="R8" s="232"/>
      <c r="S8" s="232"/>
      <c r="T8" s="232"/>
      <c r="IU8" s="514">
        <v>20</v>
      </c>
    </row>
    <row s="1854" customFormat="1" customHeight="1" ht="23.25">
      <c r="A9" s="1638"/>
      <c r="B9" s="1167">
        <v>1</v>
      </c>
      <c r="C9" s="1167"/>
      <c r="D9" s="808"/>
      <c r="E9" s="1491">
        <v>1</v>
      </c>
      <c r="F9" s="1554"/>
      <c r="G9" s="1498"/>
      <c r="H9" s="1498"/>
      <c r="I9" s="1545"/>
      <c r="J9" s="21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4" customFormat="1" customHeight="1" ht="15.75">
      <c r="A10" s="1638"/>
      <c r="B10" s="1167"/>
      <c r="C10" s="419"/>
      <c r="D10" s="808"/>
      <c r="E10" s="1548"/>
      <c r="F10" s="1507" t="s">
        <v>1962</v>
      </c>
      <c r="G10" s="1549"/>
      <c r="H10" s="1549"/>
      <c r="I10" s="1903"/>
      <c r="J10" s="2191"/>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5"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5"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5"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81</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9833E-D35A-AFE1-F883-0.BCA4483F}"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4" customFormat="1" customHeight="1" ht="22.5" hidden="1">
      <c r="A2" s="838"/>
      <c r="B2" s="1167">
        <v>1</v>
      </c>
      <c r="C2" s="1167"/>
      <c r="D2" s="1932" t="s">
        <v>576</v>
      </c>
      <c r="E2" s="1893"/>
      <c r="F2" s="1896" t="str">
        <f>IF(ROIV_INFO_NAME="","",ROIV_INFO_NAME)</f>
        <v>ИМУП «ПОСЖИЛКОМСЕРВИС»</v>
      </c>
      <c r="G2" s="1921" t="s">
        <v>22</v>
      </c>
      <c r="H2" s="1920"/>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82</v>
      </c>
      <c r="G3" s="1741" t="s">
        <v>83</v>
      </c>
      <c r="H3" s="501"/>
      <c r="I3" s="501"/>
      <c r="J3" s="501"/>
      <c r="K3" s="501"/>
      <c r="L3" s="234" t="s">
        <v>84</v>
      </c>
      <c r="M3" s="254" t="s">
        <v>82</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5"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5" customFormat="1" customHeight="1" ht="27.299999999999997">
      <c r="A5" s="1162"/>
      <c r="B5" s="1167"/>
      <c r="C5" s="1162"/>
      <c r="D5" s="1502"/>
      <c r="E5" s="212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0"/>
      <c r="G5" s="2120"/>
      <c r="H5" s="2120"/>
      <c r="I5" s="2120"/>
      <c r="J5" s="2120"/>
      <c r="K5" s="2120"/>
      <c r="L5" s="595"/>
      <c r="M5" s="254"/>
      <c r="N5" s="507"/>
      <c r="O5" s="507"/>
      <c r="P5" s="507"/>
      <c r="Q5" s="233"/>
      <c r="R5" s="507"/>
      <c r="S5" s="232"/>
      <c r="T5" s="232"/>
      <c r="U5" s="232"/>
      <c r="V5" s="232"/>
      <c r="IW5" s="514">
        <v>26</v>
      </c>
    </row>
    <row s="1825"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5" customFormat="1" customHeight="1" ht="14.699999999999998">
      <c r="A7" s="1162"/>
      <c r="B7" s="1167"/>
      <c r="C7" s="1162"/>
      <c r="D7" s="1502"/>
      <c r="E7" s="2121" t="s">
        <v>299</v>
      </c>
      <c r="F7" s="2122"/>
      <c r="G7" s="2122"/>
      <c r="H7" s="2122"/>
      <c r="I7" s="2122"/>
      <c r="J7" s="2122"/>
      <c r="K7" s="2122"/>
      <c r="L7" s="2494" t="s">
        <v>300</v>
      </c>
      <c r="M7" s="507"/>
      <c r="N7" s="507"/>
      <c r="O7" s="507"/>
      <c r="P7" s="507"/>
      <c r="Q7" s="233"/>
      <c r="R7" s="507"/>
      <c r="S7" s="232"/>
      <c r="T7" s="232"/>
      <c r="U7" s="232"/>
      <c r="V7" s="232"/>
      <c r="IW7" s="514">
        <v>14</v>
      </c>
    </row>
    <row s="1825" customFormat="1" customHeight="1" ht="67.2">
      <c r="A8" s="1162"/>
      <c r="B8" s="1167"/>
      <c r="C8" s="1162"/>
      <c r="D8" s="1502"/>
      <c r="E8" s="2498" t="s">
        <v>87</v>
      </c>
      <c r="F8" s="24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1"/>
      <c r="I8" s="2502"/>
      <c r="J8" s="24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6"/>
      <c r="M8" s="507"/>
      <c r="N8" s="507"/>
      <c r="O8" s="507"/>
      <c r="P8" s="507"/>
      <c r="Q8" s="233"/>
      <c r="R8" s="507"/>
      <c r="S8" s="232"/>
      <c r="T8" s="232"/>
      <c r="U8" s="232"/>
      <c r="V8" s="232"/>
      <c r="IW8" s="514">
        <v>64</v>
      </c>
    </row>
    <row s="1825" customFormat="1" customHeight="1" ht="29.25">
      <c r="A9" s="1162"/>
      <c r="B9" s="1167"/>
      <c r="C9" s="1162"/>
      <c r="D9" s="1502"/>
      <c r="E9" s="2499"/>
      <c r="F9" s="2499"/>
      <c r="G9" s="1544" t="s">
        <v>1963</v>
      </c>
      <c r="H9" s="1544" t="s">
        <v>1964</v>
      </c>
      <c r="I9" s="1544" t="s">
        <v>1965</v>
      </c>
      <c r="J9" s="2499"/>
      <c r="K9" s="2499"/>
      <c r="L9" s="2495"/>
      <c r="M9" s="507"/>
      <c r="N9" s="507"/>
      <c r="O9" s="507"/>
      <c r="P9" s="507"/>
      <c r="Q9" s="233"/>
      <c r="R9" s="507"/>
      <c r="S9" s="232"/>
      <c r="T9" s="232"/>
      <c r="U9" s="232"/>
      <c r="V9" s="232"/>
      <c r="IW9" s="514">
        <v>28</v>
      </c>
    </row>
    <row s="1854" customFormat="1" customHeight="1" ht="23.25">
      <c r="A10" s="2119"/>
      <c r="B10" s="1167">
        <v>1</v>
      </c>
      <c r="C10" s="1167"/>
      <c r="D10" s="807"/>
      <c r="E10" s="805">
        <v>1</v>
      </c>
      <c r="F10" s="1546" t="str">
        <f>IF(ROIV_INFO_NAME="","",ROIV_INFO_NAME)</f>
        <v>ИМУП «ПОСЖИЛКОМСЕРВИС»</v>
      </c>
      <c r="G10" s="1738" t="s">
        <v>22</v>
      </c>
      <c r="H10" s="1920"/>
      <c r="I10" s="1541"/>
      <c r="J10" s="825"/>
      <c r="K10" s="825"/>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4" customFormat="1" customHeight="1" ht="15.75">
      <c r="A11" s="2119"/>
      <c r="B11" s="1167"/>
      <c r="C11" s="419"/>
      <c r="D11" s="808"/>
      <c r="E11" s="428"/>
      <c r="F11" s="423" t="s">
        <v>1966</v>
      </c>
      <c r="G11" s="194"/>
      <c r="H11" s="194"/>
      <c r="I11" s="194"/>
      <c r="J11" s="194"/>
      <c r="K11" s="431"/>
      <c r="L11" s="2497"/>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5"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5"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5"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81</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CD14C-2897-06E6-A791-0.38C4375E}"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4" customFormat="1" customHeight="1" ht="22.5" hidden="1">
      <c r="A2" s="838"/>
      <c r="B2" s="1373">
        <v>1</v>
      </c>
      <c r="C2" s="1373"/>
      <c r="D2" s="1932" t="s">
        <v>576</v>
      </c>
      <c r="E2" s="1908"/>
      <c r="F2" s="1910" t="str">
        <f>IF(ROIV_INFO_NAME="","",ROIV_INFO_NAME)</f>
        <v>ИМУП «ПОСЖИЛКОМСЕРВИС»</v>
      </c>
      <c r="G2" s="1738" t="s">
        <v>22</v>
      </c>
      <c r="H2" s="1920"/>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897"/>
      <c r="F3" s="255" t="s">
        <v>82</v>
      </c>
      <c r="G3" s="1741" t="s">
        <v>83</v>
      </c>
      <c r="H3" s="1897"/>
      <c r="I3" s="1897"/>
      <c r="J3" s="1897"/>
      <c r="K3" s="1897"/>
      <c r="L3" s="234" t="s">
        <v>84</v>
      </c>
      <c r="M3" s="255" t="s">
        <v>82</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5" customFormat="1" customHeight="1" ht="14.699999999999998">
      <c r="A4" s="1638"/>
      <c r="B4" s="1373"/>
      <c r="C4" s="1638"/>
      <c r="D4" s="1522"/>
      <c r="E4" s="1642"/>
      <c r="F4" s="1642"/>
      <c r="G4" s="1642"/>
      <c r="H4" s="1642"/>
      <c r="I4" s="1642"/>
      <c r="J4" s="1642"/>
      <c r="K4" s="1642"/>
      <c r="L4" s="1899"/>
      <c r="M4" s="255"/>
      <c r="N4" s="1631"/>
      <c r="O4" s="1631"/>
      <c r="P4" s="1631"/>
      <c r="Q4" s="1631"/>
      <c r="R4" s="1631"/>
      <c r="S4" s="232"/>
      <c r="T4" s="232"/>
      <c r="U4" s="232"/>
      <c r="V4" s="232"/>
      <c r="IW4" s="1616">
        <v>14</v>
      </c>
    </row>
    <row s="1825" customFormat="1" customHeight="1" ht="27.299999999999997">
      <c r="A5" s="1638"/>
      <c r="B5" s="1373"/>
      <c r="C5" s="1638"/>
      <c r="D5" s="1522"/>
      <c r="E5" s="212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0"/>
      <c r="G5" s="2120"/>
      <c r="H5" s="2120"/>
      <c r="I5" s="2120"/>
      <c r="J5" s="2120"/>
      <c r="K5" s="2120"/>
      <c r="L5" s="1642"/>
      <c r="M5" s="255"/>
      <c r="N5" s="1631"/>
      <c r="O5" s="1631"/>
      <c r="P5" s="1631"/>
      <c r="Q5" s="1631"/>
      <c r="R5" s="1631"/>
      <c r="S5" s="232"/>
      <c r="T5" s="232"/>
      <c r="U5" s="232"/>
      <c r="V5" s="232"/>
      <c r="IW5" s="1616">
        <v>26</v>
      </c>
    </row>
    <row s="1825"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5" customFormat="1" customHeight="1" ht="14.699999999999998">
      <c r="A7" s="1638"/>
      <c r="B7" s="1373"/>
      <c r="C7" s="1638"/>
      <c r="D7" s="1522"/>
      <c r="E7" s="2121" t="s">
        <v>299</v>
      </c>
      <c r="F7" s="2122"/>
      <c r="G7" s="2122"/>
      <c r="H7" s="2122"/>
      <c r="I7" s="2122"/>
      <c r="J7" s="2122"/>
      <c r="K7" s="2122"/>
      <c r="L7" s="2494" t="s">
        <v>300</v>
      </c>
      <c r="M7" s="1631"/>
      <c r="N7" s="1631"/>
      <c r="O7" s="1631"/>
      <c r="P7" s="1631"/>
      <c r="Q7" s="1631"/>
      <c r="R7" s="1631"/>
      <c r="S7" s="232"/>
      <c r="T7" s="232"/>
      <c r="U7" s="232"/>
      <c r="V7" s="232"/>
      <c r="IW7" s="1616">
        <v>14</v>
      </c>
    </row>
    <row s="1825" customFormat="1" customHeight="1" ht="67.2">
      <c r="A8" s="1638"/>
      <c r="B8" s="1373"/>
      <c r="C8" s="1638"/>
      <c r="D8" s="1522"/>
      <c r="E8" s="2498" t="s">
        <v>87</v>
      </c>
      <c r="F8" s="2498" t="s">
        <v>1967</v>
      </c>
      <c r="G8" s="2500" t="s">
        <v>1968</v>
      </c>
      <c r="H8" s="2501"/>
      <c r="I8" s="2502"/>
      <c r="J8" s="2498" t="s">
        <v>1969</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6"/>
      <c r="M8" s="1631"/>
      <c r="N8" s="1631"/>
      <c r="O8" s="1631"/>
      <c r="P8" s="1631"/>
      <c r="Q8" s="1631"/>
      <c r="R8" s="1631"/>
      <c r="S8" s="232"/>
      <c r="T8" s="232"/>
      <c r="U8" s="232"/>
      <c r="V8" s="232"/>
      <c r="IW8" s="1616">
        <v>64</v>
      </c>
    </row>
    <row s="1825" customFormat="1" customHeight="1" ht="29.25">
      <c r="A9" s="1638"/>
      <c r="B9" s="1373"/>
      <c r="C9" s="1638"/>
      <c r="D9" s="1522"/>
      <c r="E9" s="2499"/>
      <c r="F9" s="2499"/>
      <c r="G9" s="1898" t="s">
        <v>1963</v>
      </c>
      <c r="H9" s="1898" t="s">
        <v>1964</v>
      </c>
      <c r="I9" s="1898" t="s">
        <v>1965</v>
      </c>
      <c r="J9" s="2499"/>
      <c r="K9" s="2499"/>
      <c r="L9" s="2495"/>
      <c r="M9" s="1631"/>
      <c r="N9" s="1631"/>
      <c r="O9" s="1631"/>
      <c r="P9" s="1631"/>
      <c r="Q9" s="1631"/>
      <c r="R9" s="1631"/>
      <c r="S9" s="232"/>
      <c r="T9" s="232"/>
      <c r="U9" s="232"/>
      <c r="V9" s="232"/>
      <c r="IW9" s="1616">
        <v>28</v>
      </c>
    </row>
    <row s="1854" customFormat="1" customHeight="1" ht="1.05">
      <c r="A10" s="2119"/>
      <c r="B10" s="1373">
        <v>1</v>
      </c>
      <c r="C10" s="1373"/>
      <c r="D10" s="807"/>
      <c r="E10" s="802">
        <v>0</v>
      </c>
      <c r="F10" s="1895" t="str">
        <f>IF(ROIV_INFO_NAME="","",ROIV_INFO_NAME)</f>
        <v>ИМУП «ПОСЖИЛКОМСЕРВИС»</v>
      </c>
      <c r="G10" s="1739" t="s">
        <v>22</v>
      </c>
      <c r="H10" s="1907"/>
      <c r="I10" s="1907"/>
      <c r="J10" s="526"/>
      <c r="K10" s="526"/>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4" customFormat="1" customHeight="1" ht="15.75">
      <c r="A11" s="2119"/>
      <c r="B11" s="1373"/>
      <c r="C11" s="419"/>
      <c r="D11" s="808"/>
      <c r="E11" s="428"/>
      <c r="F11" s="658" t="s">
        <v>1966</v>
      </c>
      <c r="G11" s="194"/>
      <c r="H11" s="194"/>
      <c r="I11" s="194"/>
      <c r="J11" s="194"/>
      <c r="K11" s="431"/>
      <c r="L11" s="2497"/>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5"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5"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5"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81</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2D1B2-6522-0E7D-99CE-0.7C173207}"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4" customFormat="1" customHeight="1" ht="22.5" hidden="1">
      <c r="A2" s="503"/>
      <c r="B2" s="1167">
        <v>1</v>
      </c>
      <c r="C2" s="1167"/>
      <c r="D2" s="1932" t="s">
        <v>576</v>
      </c>
      <c r="E2" s="2147">
        <v>1</v>
      </c>
      <c r="F2" s="2323" t="str">
        <f>IF(region_name="","",region_name)</f>
        <v>Ненецкий автономный округ</v>
      </c>
      <c r="G2" s="2503"/>
      <c r="H2" s="2504"/>
      <c r="I2" s="481"/>
      <c r="J2" s="1914">
        <v>1</v>
      </c>
      <c r="K2" s="1916"/>
      <c r="L2" s="1916"/>
      <c r="M2" s="1916"/>
      <c r="N2" s="499"/>
      <c r="O2" s="1542"/>
      <c r="P2" s="518"/>
      <c r="Q2" s="430">
        <v>0</v>
      </c>
    </row>
    <row s="1854" customFormat="1" customHeight="1" ht="22.5" hidden="1">
      <c r="A3" s="838"/>
      <c r="B3" s="1167"/>
      <c r="C3" s="1167"/>
      <c r="D3" s="808"/>
      <c r="E3" s="2147"/>
      <c r="F3" s="2323"/>
      <c r="G3" s="2503"/>
      <c r="H3" s="2505"/>
      <c r="I3" s="428"/>
      <c r="J3" s="1507"/>
      <c r="K3" s="1507" t="s">
        <v>1970</v>
      </c>
      <c r="L3" s="1550"/>
      <c r="M3" s="1924"/>
      <c r="N3" s="1917"/>
      <c r="O3" s="1542"/>
      <c r="P3" s="518"/>
      <c r="Q3" s="430">
        <v>0</v>
      </c>
    </row>
    <row s="1649" customFormat="1" customHeight="1" ht="5.25" hidden="1">
      <c r="A4" s="503"/>
      <c r="D4" s="501"/>
      <c r="F4" s="254" t="s">
        <v>82</v>
      </c>
      <c r="G4" s="501" t="s">
        <v>83</v>
      </c>
      <c r="H4" s="501"/>
      <c r="I4" s="1927"/>
      <c r="J4" s="1551"/>
      <c r="K4" s="1915"/>
      <c r="L4" s="1915"/>
      <c r="M4" s="1915"/>
      <c r="N4" s="1911"/>
      <c r="O4" s="254" t="s">
        <v>82</v>
      </c>
      <c r="P4" s="254"/>
      <c r="Q4" s="518">
        <v>0</v>
      </c>
    </row>
    <row s="1854" customFormat="1" customHeight="1" ht="22.5" hidden="1">
      <c r="A5" s="1648"/>
      <c r="B5" s="1373">
        <v>1</v>
      </c>
      <c r="C5" s="1373"/>
      <c r="D5" s="808"/>
      <c r="E5" s="1917"/>
      <c r="F5" s="1917"/>
      <c r="G5" s="1917"/>
      <c r="H5" s="1928"/>
      <c r="I5" s="1933" t="s">
        <v>576</v>
      </c>
      <c r="J5" s="1926">
        <v>1</v>
      </c>
      <c r="K5" s="1916"/>
      <c r="L5" s="1916"/>
      <c r="M5" s="1916"/>
      <c r="N5" s="499"/>
      <c r="O5" s="1542"/>
      <c r="P5" s="1643"/>
      <c r="Q5" s="631">
        <v>0</v>
      </c>
    </row>
    <row s="1825" customFormat="1" customHeight="1" ht="14.699999999999998">
      <c r="A6" s="1162"/>
      <c r="B6" s="1167"/>
      <c r="C6" s="1162"/>
      <c r="D6" s="1502"/>
      <c r="E6" s="516"/>
      <c r="F6" s="516"/>
      <c r="G6" s="516"/>
      <c r="H6" s="516"/>
      <c r="I6" s="516"/>
      <c r="J6" s="516"/>
      <c r="K6" s="516"/>
      <c r="L6" s="516"/>
      <c r="M6" s="516"/>
      <c r="N6" s="1642"/>
      <c r="O6" s="254"/>
      <c r="P6" s="507"/>
      <c r="Q6" s="514">
        <v>14</v>
      </c>
    </row>
    <row s="1825" customFormat="1" customHeight="1" ht="27.299999999999997">
      <c r="A7" s="1162"/>
      <c r="B7" s="1167"/>
      <c r="C7" s="1162"/>
      <c r="D7" s="1502"/>
      <c r="E7" s="25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0"/>
      <c r="G7" s="2510"/>
      <c r="H7" s="2510"/>
      <c r="I7" s="2510"/>
      <c r="J7" s="2510"/>
      <c r="K7" s="2510"/>
      <c r="L7" s="2510"/>
      <c r="M7" s="2510"/>
      <c r="N7" s="1259"/>
      <c r="O7" s="254"/>
      <c r="P7" s="507"/>
      <c r="Q7" s="514">
        <v>26</v>
      </c>
    </row>
    <row s="1825"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18"/>
      <c r="F9" s="1918"/>
      <c r="G9" s="1918"/>
      <c r="H9" s="1918"/>
      <c r="I9" s="2513"/>
      <c r="J9" s="2513"/>
      <c r="K9" s="2513"/>
      <c r="L9" s="1918"/>
      <c r="M9" s="1919"/>
      <c r="O9" s="1552"/>
      <c r="P9" s="1552"/>
      <c r="Q9" s="1553">
        <v>0</v>
      </c>
    </row>
    <row s="1825" customFormat="1" customHeight="1" ht="14.699999999999998">
      <c r="A10" s="1162"/>
      <c r="B10" s="1167"/>
      <c r="C10" s="1162"/>
      <c r="D10" s="1502"/>
      <c r="E10" s="2147" t="s">
        <v>299</v>
      </c>
      <c r="F10" s="2147"/>
      <c r="G10" s="2147"/>
      <c r="H10" s="2147"/>
      <c r="I10" s="2147"/>
      <c r="J10" s="2147"/>
      <c r="K10" s="2147"/>
      <c r="L10" s="2147"/>
      <c r="M10" s="2121"/>
      <c r="N10" s="2498" t="s">
        <v>300</v>
      </c>
      <c r="O10" s="507"/>
      <c r="P10" s="507"/>
      <c r="Q10" s="514">
        <v>14</v>
      </c>
    </row>
    <row s="1825" customFormat="1" customHeight="1" ht="44.25">
      <c r="A11" s="1638"/>
      <c r="B11" s="1373"/>
      <c r="C11" s="1638"/>
      <c r="D11" s="1522"/>
      <c r="E11" s="2512" t="s">
        <v>87</v>
      </c>
      <c r="F11" s="2512" t="s">
        <v>303</v>
      </c>
      <c r="G11" s="2512" t="s">
        <v>1971</v>
      </c>
      <c r="H11" s="2512"/>
      <c r="I11" s="2512" t="s">
        <v>1972</v>
      </c>
      <c r="J11" s="2512"/>
      <c r="K11" s="2512"/>
      <c r="L11" s="2512" t="s">
        <v>1973</v>
      </c>
      <c r="M11" s="2500" t="s">
        <v>1974</v>
      </c>
      <c r="N11" s="2511"/>
      <c r="O11" s="1631"/>
      <c r="P11" s="1631"/>
      <c r="Q11" s="1616">
        <v>42</v>
      </c>
    </row>
    <row s="1825" customFormat="1" customHeight="1" ht="29.25">
      <c r="A12" s="1162"/>
      <c r="B12" s="1167"/>
      <c r="C12" s="1162"/>
      <c r="D12" s="1502"/>
      <c r="E12" s="2498"/>
      <c r="F12" s="2512"/>
      <c r="G12" s="1913" t="s">
        <v>1975</v>
      </c>
      <c r="H12" s="1913" t="s">
        <v>307</v>
      </c>
      <c r="I12" s="2512"/>
      <c r="J12" s="2512"/>
      <c r="K12" s="2512"/>
      <c r="L12" s="2512"/>
      <c r="M12" s="2500"/>
      <c r="N12" s="2499"/>
      <c r="O12" s="507"/>
      <c r="P12" s="507"/>
      <c r="Q12" s="514">
        <v>28</v>
      </c>
    </row>
    <row s="1854" customFormat="1" customHeight="1" ht="23.25">
      <c r="A13" s="2119">
        <v>26379339</v>
      </c>
      <c r="B13" s="1167">
        <v>1</v>
      </c>
      <c r="C13" s="1167"/>
      <c r="D13" s="808"/>
      <c r="E13" s="2147">
        <v>1</v>
      </c>
      <c r="F13" s="2506" t="str">
        <f>IF(region_name="","",region_name)</f>
        <v>Ненецкий автономный округ</v>
      </c>
      <c r="G13" s="2507"/>
      <c r="H13" s="2514"/>
      <c r="I13" s="481"/>
      <c r="J13" s="1909">
        <v>1</v>
      </c>
      <c r="K13" s="1922"/>
      <c r="L13" s="1923"/>
      <c r="M13" s="1923"/>
      <c r="N13" s="2508" t="s">
        <v>1976</v>
      </c>
      <c r="O13" s="1542"/>
      <c r="P13" s="518"/>
      <c r="Q13" s="430">
        <v>22</v>
      </c>
    </row>
    <row s="1854" customFormat="1" customHeight="1" ht="23.25">
      <c r="A14" s="2119"/>
      <c r="B14" s="1167"/>
      <c r="C14" s="1167"/>
      <c r="D14" s="808"/>
      <c r="E14" s="2147"/>
      <c r="F14" s="2506"/>
      <c r="G14" s="2507"/>
      <c r="H14" s="2515"/>
      <c r="I14" s="428"/>
      <c r="J14" s="1507"/>
      <c r="K14" s="1507" t="s">
        <v>1970</v>
      </c>
      <c r="L14" s="1550"/>
      <c r="M14" s="1550"/>
      <c r="N14" s="2509"/>
      <c r="O14" s="1542"/>
      <c r="P14" s="518"/>
      <c r="Q14" s="430">
        <v>22</v>
      </c>
    </row>
    <row s="1854" customFormat="1" customHeight="1" ht="23.25">
      <c r="A15" s="2119"/>
      <c r="B15" s="1167"/>
      <c r="C15" s="419"/>
      <c r="D15" s="808"/>
      <c r="E15" s="428"/>
      <c r="F15" s="1507" t="s">
        <v>1962</v>
      </c>
      <c r="G15" s="1549"/>
      <c r="H15" s="1549"/>
      <c r="I15" s="194"/>
      <c r="J15" s="194"/>
      <c r="K15" s="194"/>
      <c r="L15" s="194"/>
      <c r="M15" s="194"/>
      <c r="N15" s="2509"/>
      <c r="O15" s="1543"/>
      <c r="P15" s="518"/>
      <c r="Q15" s="430">
        <v>22</v>
      </c>
    </row>
    <row s="1825" customFormat="1" customHeight="1" ht="22.049999999999997">
      <c r="A16" s="1162"/>
      <c r="B16" s="1167"/>
      <c r="C16" s="1162"/>
      <c r="D16" s="458"/>
      <c r="E16" s="187"/>
      <c r="F16" s="187"/>
      <c r="G16" s="187"/>
      <c r="H16" s="187"/>
      <c r="I16" s="187"/>
      <c r="J16" s="187"/>
      <c r="K16" s="187"/>
      <c r="L16" s="187"/>
      <c r="M16" s="516"/>
      <c r="N16" s="1642"/>
      <c r="O16" s="507"/>
      <c r="P16" s="507"/>
      <c r="Q16" s="514">
        <v>21</v>
      </c>
    </row>
    <row s="1825"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5"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81</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2DD6-DA1A-1E18-52EC-0.61A71F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5" width="9.140625" hidden="1"/>
    <col min="2" max="2" style="1829" width="9.140625" hidden="1"/>
    <col min="3" max="3" style="127"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20" t="s">
        <v>1977</v>
      </c>
      <c r="E5" s="2120"/>
      <c r="F5" s="2120"/>
      <c r="G5" s="2120"/>
      <c r="H5" s="2120"/>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29" t="s">
        <v>299</v>
      </c>
      <c r="E8" s="2229"/>
      <c r="F8" s="2229"/>
      <c r="G8" s="2229"/>
      <c r="H8" s="2229"/>
      <c r="I8" s="2229" t="s">
        <v>300</v>
      </c>
      <c r="M8" s="128">
        <v>14</v>
      </c>
    </row>
    <row customHeight="1" ht="29.25">
      <c r="D9" s="2229" t="s">
        <v>87</v>
      </c>
      <c r="E9" s="2229" t="s">
        <v>1978</v>
      </c>
      <c r="F9" s="2229"/>
      <c r="G9" s="2229"/>
      <c r="H9" s="2229"/>
      <c r="I9" s="2229"/>
      <c r="M9" s="128">
        <v>28</v>
      </c>
    </row>
    <row customHeight="1" ht="24">
      <c r="D10" s="2229"/>
      <c r="E10" s="134" t="s">
        <v>1979</v>
      </c>
      <c r="F10" s="134" t="s">
        <v>1980</v>
      </c>
      <c r="G10" s="134" t="s">
        <v>1981</v>
      </c>
      <c r="H10" s="134" t="s">
        <v>389</v>
      </c>
      <c r="I10" s="2229"/>
      <c r="M10" s="128">
        <v>23</v>
      </c>
    </row>
    <row customHeight="1" ht="12" hidden="1">
      <c r="D11" s="94" t="s">
        <v>109</v>
      </c>
      <c r="E11" s="94" t="s">
        <v>90</v>
      </c>
      <c r="F11" s="94" t="s">
        <v>111</v>
      </c>
      <c r="G11" s="94" t="s">
        <v>91</v>
      </c>
      <c r="H11" s="94" t="s">
        <v>92</v>
      </c>
      <c r="I11" s="94" t="s">
        <v>112</v>
      </c>
      <c r="M11" s="128">
        <v>0</v>
      </c>
    </row>
    <row s="1829" customFormat="1" customHeight="1" ht="26.25">
      <c r="A12" s="152" t="s">
        <v>89</v>
      </c>
      <c r="B12" s="132" t="s">
        <v>22</v>
      </c>
      <c r="C12" s="133"/>
      <c r="D12" s="135" t="s">
        <v>109</v>
      </c>
      <c r="E12" s="388"/>
      <c r="F12" s="388"/>
      <c r="G12" s="1740" t="s">
        <v>22</v>
      </c>
      <c r="H12" s="389"/>
      <c r="I12" s="2189" t="s">
        <v>1982</v>
      </c>
      <c r="K12" s="279"/>
      <c r="L12" s="280"/>
      <c r="M12" s="124">
        <v>25</v>
      </c>
    </row>
    <row customHeight="1" ht="15.75">
      <c r="A13" s="128"/>
      <c r="B13" s="128"/>
      <c r="C13" s="128"/>
      <c r="D13" s="116"/>
      <c r="E13" s="137" t="s">
        <v>467</v>
      </c>
      <c r="F13" s="136"/>
      <c r="G13" s="136"/>
      <c r="H13" s="221"/>
      <c r="I13" s="2191"/>
      <c r="M13" s="128">
        <v>15</v>
      </c>
    </row>
    <row customHeight="1" ht="3">
      <c r="A14" s="128"/>
      <c r="B14" s="128"/>
      <c r="C14" s="128"/>
      <c r="M14" s="128">
        <v>3</v>
      </c>
    </row>
    <row customHeight="1" ht="29.25">
      <c r="E15" s="2516" t="s">
        <v>1983</v>
      </c>
      <c r="F15" s="2516"/>
      <c r="G15" s="2516"/>
      <c r="H15" s="2516"/>
      <c r="M15" s="128">
        <v>28</v>
      </c>
    </row>
    <row customHeight="1" ht="14.25" hidden="1">
      <c r="A16" s="125" t="s">
        <v>81</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F08CB-93D3-2F57-4218-0.9D279E6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17" t="s">
        <v>1984</v>
      </c>
      <c r="E7" s="2518"/>
      <c r="F7" s="274"/>
      <c r="J7" s="76">
        <v>22</v>
      </c>
    </row>
    <row customHeight="1" ht="3">
      <c r="C8" s="99"/>
      <c r="D8" s="77"/>
      <c r="E8" s="77"/>
      <c r="J8" s="76">
        <v>3</v>
      </c>
    </row>
    <row customHeight="1" ht="16.8">
      <c r="C9" s="99"/>
      <c r="D9" s="112" t="s">
        <v>87</v>
      </c>
      <c r="E9" s="267" t="s">
        <v>1985</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1986</v>
      </c>
      <c r="J13" s="76">
        <v>12</v>
      </c>
    </row>
    <row customHeight="1" ht="3">
      <c r="J14" s="76">
        <v>3</v>
      </c>
    </row>
    <row customHeight="1" ht="23.25">
      <c r="C15" s="144"/>
      <c r="D15" s="2519" t="s">
        <v>1987</v>
      </c>
      <c r="E15" s="2519"/>
      <c r="F15" s="145"/>
      <c r="G15" s="145"/>
      <c r="H15" s="145"/>
      <c r="I15" s="145"/>
      <c r="J15" s="76">
        <v>22</v>
      </c>
    </row>
    <row customHeight="1" ht="14.25" hidden="1">
      <c r="A16" s="76" t="s">
        <v>81</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ED028-B272-A666-DC93-0.2261DD6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20" t="s">
        <v>1988</v>
      </c>
      <c r="E7" s="2120"/>
      <c r="F7" s="274"/>
      <c r="M7" s="76">
        <v>22</v>
      </c>
    </row>
    <row customHeight="1" ht="3">
      <c r="C8" s="99"/>
      <c r="D8" s="77"/>
      <c r="E8" s="77"/>
      <c r="M8" s="76">
        <v>3</v>
      </c>
    </row>
    <row customHeight="1" ht="16.8">
      <c r="C9" s="99"/>
      <c r="D9" s="112" t="s">
        <v>87</v>
      </c>
      <c r="E9" s="115" t="s">
        <v>286</v>
      </c>
      <c r="M9" s="76">
        <v>16</v>
      </c>
    </row>
    <row customHeight="1" ht="12.75">
      <c r="C10" s="99"/>
      <c r="D10" s="94" t="s">
        <v>109</v>
      </c>
      <c r="E10" s="94" t="s">
        <v>110</v>
      </c>
      <c r="M10" s="76">
        <v>12</v>
      </c>
    </row>
    <row customHeight="1" ht="15" hidden="1">
      <c r="C11" s="99"/>
      <c r="D11" s="120">
        <v>0</v>
      </c>
      <c r="E11" s="156"/>
      <c r="M11" s="76">
        <v>0</v>
      </c>
    </row>
    <row customHeight="1" ht="14.699999999999998">
      <c r="C12" s="99"/>
      <c r="D12" s="116"/>
      <c r="E12" s="114" t="s">
        <v>1986</v>
      </c>
      <c r="M12" s="76">
        <v>14</v>
      </c>
    </row>
    <row customHeight="1" ht="14.25" hidden="1">
      <c r="A13" s="76" t="s">
        <v>81</v>
      </c>
      <c r="B13" s="76">
        <v>0</v>
      </c>
      <c r="C13" s="98">
        <v>3</v>
      </c>
      <c r="D13" s="76">
        <v>6</v>
      </c>
      <c r="E13" s="76">
        <v>94</v>
      </c>
      <c r="F13" s="76">
        <v>8</v>
      </c>
      <c r="G13" s="76">
        <v>8</v>
      </c>
      <c r="H13" s="76">
        <v>8</v>
      </c>
      <c r="I13" s="76">
        <v>8</v>
      </c>
      <c r="J13" s="76">
        <v>8</v>
      </c>
      <c r="K13" s="76">
        <v>8</v>
      </c>
      <c r="L13" s="76">
        <v>8</v>
      </c>
      <c r="M13" s="7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8A2CE-1932-E3D1-7FF5-0.63D2072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5" width="8.00390625" customWidth="1"/>
    <col min="38" max="64" style="1854" width="8.00390625" customWidth="1"/>
    <col min="65" max="65" style="1854"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278</v>
      </c>
      <c r="M2" s="1560" t="s">
        <v>279</v>
      </c>
      <c r="R2" s="1560" t="s">
        <v>280</v>
      </c>
      <c r="S2" s="1560" t="s">
        <v>279</v>
      </c>
      <c r="X2" s="1560" t="s">
        <v>278</v>
      </c>
      <c r="Y2" s="1560" t="s">
        <v>279</v>
      </c>
      <c r="AD2" s="1560" t="s">
        <v>278</v>
      </c>
      <c r="AE2" s="1560" t="s">
        <v>279</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5" customFormat="1" customHeight="1" ht="34.5">
      <c r="A4" s="1163"/>
      <c r="B4" s="1162"/>
      <c r="C4" s="1522"/>
      <c r="D4" s="2211" t="s">
        <v>281</v>
      </c>
      <c r="E4" s="2211"/>
      <c r="F4" s="2211"/>
      <c r="G4" s="2211"/>
      <c r="H4" s="2211"/>
      <c r="I4" s="2211"/>
      <c r="J4" s="2211"/>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5" customFormat="1" customHeight="1" ht="14.699999999999998">
      <c r="A5" s="1639"/>
      <c r="B5" s="1638"/>
      <c r="C5" s="1522"/>
      <c r="D5" s="2196" t="str">
        <f>IF(org=0,"Не определено",org)</f>
        <v>ИМУП «ПОСЖИЛКОМСЕРВИС»</v>
      </c>
      <c r="E5" s="2196"/>
      <c r="F5" s="2196"/>
      <c r="G5" s="2196"/>
      <c r="H5" s="2196"/>
      <c r="I5" s="2196"/>
      <c r="J5" s="2196"/>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5"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47" t="s">
        <v>87</v>
      </c>
      <c r="E8" s="2147" t="s">
        <v>105</v>
      </c>
      <c r="F8" s="2212" t="s">
        <v>123</v>
      </c>
      <c r="G8" s="2213"/>
      <c r="H8" s="2212" t="s">
        <v>87</v>
      </c>
      <c r="I8" s="2213"/>
      <c r="J8" s="2147" t="s">
        <v>124</v>
      </c>
      <c r="K8" s="1563"/>
      <c r="L8" s="2216" t="s">
        <v>282</v>
      </c>
      <c r="M8" s="2216"/>
      <c r="N8" s="2216"/>
      <c r="O8" s="2216"/>
      <c r="P8" s="2216"/>
      <c r="Q8" s="1564"/>
      <c r="R8" s="2116" t="s">
        <v>283</v>
      </c>
      <c r="S8" s="2217"/>
      <c r="T8" s="2217"/>
      <c r="U8" s="2217"/>
      <c r="V8" s="2217"/>
      <c r="W8" s="1564"/>
      <c r="X8" s="2218" t="s">
        <v>284</v>
      </c>
      <c r="Y8" s="2218"/>
      <c r="Z8" s="2218"/>
      <c r="AA8" s="2218"/>
      <c r="AB8" s="2218"/>
      <c r="AC8" s="1565"/>
      <c r="AD8" s="2147" t="s">
        <v>285</v>
      </c>
      <c r="AE8" s="2147"/>
      <c r="AF8" s="2147"/>
      <c r="AG8" s="2147"/>
      <c r="AH8" s="2121"/>
      <c r="AI8" s="2147" t="s">
        <v>286</v>
      </c>
      <c r="AJ8" s="1581"/>
      <c r="BM8" s="300">
        <v>32</v>
      </c>
    </row>
    <row customHeight="1" ht="23.25">
      <c r="D9" s="2147"/>
      <c r="E9" s="2147"/>
      <c r="F9" s="2195" t="s">
        <v>88</v>
      </c>
      <c r="G9" s="2195" t="s">
        <v>129</v>
      </c>
      <c r="H9" s="2214"/>
      <c r="I9" s="2215"/>
      <c r="J9" s="2121"/>
      <c r="K9" s="1566"/>
      <c r="L9" s="2147" t="s">
        <v>287</v>
      </c>
      <c r="M9" s="2121"/>
      <c r="N9" s="2212" t="s">
        <v>87</v>
      </c>
      <c r="O9" s="2213"/>
      <c r="P9" s="2147" t="s">
        <v>130</v>
      </c>
      <c r="Q9" s="1563"/>
      <c r="R9" s="2147" t="s">
        <v>287</v>
      </c>
      <c r="S9" s="2121"/>
      <c r="T9" s="2212" t="s">
        <v>87</v>
      </c>
      <c r="U9" s="2213"/>
      <c r="V9" s="2147" t="s">
        <v>130</v>
      </c>
      <c r="W9" s="1563"/>
      <c r="X9" s="2147" t="s">
        <v>287</v>
      </c>
      <c r="Y9" s="2121"/>
      <c r="Z9" s="2212" t="s">
        <v>87</v>
      </c>
      <c r="AA9" s="2213"/>
      <c r="AB9" s="2147" t="s">
        <v>288</v>
      </c>
      <c r="AC9" s="1563"/>
      <c r="AD9" s="2147" t="s">
        <v>287</v>
      </c>
      <c r="AE9" s="2121"/>
      <c r="AF9" s="2212" t="s">
        <v>87</v>
      </c>
      <c r="AG9" s="2213"/>
      <c r="AH9" s="2121" t="s">
        <v>288</v>
      </c>
      <c r="AI9" s="2147"/>
      <c r="AJ9" s="1581"/>
      <c r="BM9" s="300">
        <v>22</v>
      </c>
    </row>
    <row customHeight="1" ht="24">
      <c r="D10" s="2195"/>
      <c r="E10" s="2195"/>
      <c r="F10" s="2219"/>
      <c r="G10" s="2219"/>
      <c r="H10" s="2220"/>
      <c r="I10" s="2221"/>
      <c r="J10" s="2212"/>
      <c r="K10" s="1566"/>
      <c r="L10" s="1585" t="s">
        <v>289</v>
      </c>
      <c r="M10" s="1580" t="s">
        <v>290</v>
      </c>
      <c r="N10" s="2214"/>
      <c r="O10" s="2215"/>
      <c r="P10" s="2195"/>
      <c r="Q10" s="1563"/>
      <c r="R10" s="1585" t="s">
        <v>289</v>
      </c>
      <c r="S10" s="1580" t="s">
        <v>290</v>
      </c>
      <c r="T10" s="2214"/>
      <c r="U10" s="2215"/>
      <c r="V10" s="2195"/>
      <c r="W10" s="1563"/>
      <c r="X10" s="1585" t="s">
        <v>289</v>
      </c>
      <c r="Y10" s="1580" t="s">
        <v>290</v>
      </c>
      <c r="Z10" s="2214"/>
      <c r="AA10" s="2215"/>
      <c r="AB10" s="2195"/>
      <c r="AC10" s="1563"/>
      <c r="AD10" s="1585" t="s">
        <v>289</v>
      </c>
      <c r="AE10" s="1580" t="s">
        <v>290</v>
      </c>
      <c r="AF10" s="2214"/>
      <c r="AG10" s="2215"/>
      <c r="AH10" s="2212"/>
      <c r="AI10" s="2195"/>
      <c r="AJ10" s="1581"/>
      <c r="AK10" s="261" t="s">
        <v>291</v>
      </c>
      <c r="AL10" s="261" t="s">
        <v>131</v>
      </c>
      <c r="BM10" s="300">
        <v>23</v>
      </c>
    </row>
    <row customHeight="1" ht="15">
      <c r="D11" s="2203" t="s">
        <v>109</v>
      </c>
      <c r="E11" s="2199" t="s">
        <v>292</v>
      </c>
      <c r="F11" s="2199" t="s">
        <v>293</v>
      </c>
      <c r="G11" s="2205" t="s">
        <v>19</v>
      </c>
      <c r="H11" s="1606"/>
      <c r="I11" s="2201"/>
      <c r="J11" s="2172"/>
      <c r="K11" s="1521"/>
      <c r="L11" s="2157"/>
      <c r="M11" s="2157"/>
      <c r="N11" s="1591"/>
      <c r="O11" s="2157"/>
      <c r="P11" s="2172"/>
      <c r="Q11" s="1592"/>
      <c r="R11" s="2157"/>
      <c r="S11" s="2157"/>
      <c r="T11" s="1593"/>
      <c r="U11" s="2157"/>
      <c r="V11" s="2172"/>
      <c r="W11" s="1594"/>
      <c r="X11" s="2157"/>
      <c r="Y11" s="2157"/>
      <c r="Z11" s="1591"/>
      <c r="AA11" s="2157"/>
      <c r="AB11" s="2172"/>
      <c r="AC11" s="1595"/>
      <c r="AD11" s="2157"/>
      <c r="AE11" s="2157"/>
      <c r="AF11" s="1520"/>
      <c r="AG11" s="1520"/>
      <c r="AH11" s="1596"/>
      <c r="AI11" s="1303"/>
      <c r="AJ11" s="1581"/>
      <c r="BM11" s="300">
        <v>14</v>
      </c>
    </row>
    <row customHeight="1" ht="14.699999999999998">
      <c r="D12" s="2203"/>
      <c r="E12" s="2199"/>
      <c r="F12" s="2199"/>
      <c r="G12" s="2206"/>
      <c r="H12" s="1607"/>
      <c r="I12" s="2202"/>
      <c r="J12" s="2173"/>
      <c r="K12" s="1617"/>
      <c r="L12" s="2158"/>
      <c r="M12" s="2158"/>
      <c r="N12" s="1597"/>
      <c r="O12" s="2158"/>
      <c r="P12" s="2173"/>
      <c r="Q12" s="1598"/>
      <c r="R12" s="2158"/>
      <c r="S12" s="2158"/>
      <c r="T12" s="1599"/>
      <c r="U12" s="2158"/>
      <c r="V12" s="2173"/>
      <c r="W12" s="1600"/>
      <c r="X12" s="2158"/>
      <c r="Y12" s="2158"/>
      <c r="Z12" s="1597"/>
      <c r="AA12" s="2158"/>
      <c r="AB12" s="2173"/>
      <c r="AC12" s="1601"/>
      <c r="AD12" s="2158"/>
      <c r="AE12" s="2158"/>
      <c r="AF12" s="1602"/>
      <c r="AG12" s="1602"/>
      <c r="AH12" s="2197"/>
      <c r="AI12" s="2198"/>
      <c r="AJ12" s="1581"/>
      <c r="BM12" s="300">
        <v>14</v>
      </c>
    </row>
    <row customHeight="1" ht="14.699999999999998">
      <c r="D13" s="2203"/>
      <c r="E13" s="2199"/>
      <c r="F13" s="2199"/>
      <c r="G13" s="2206"/>
      <c r="H13" s="1607"/>
      <c r="I13" s="2202"/>
      <c r="J13" s="2173"/>
      <c r="K13" s="1617"/>
      <c r="L13" s="2158"/>
      <c r="M13" s="2158"/>
      <c r="N13" s="1597"/>
      <c r="O13" s="2158"/>
      <c r="P13" s="2173"/>
      <c r="Q13" s="1598"/>
      <c r="R13" s="2158"/>
      <c r="S13" s="2158"/>
      <c r="T13" s="1599"/>
      <c r="U13" s="2158"/>
      <c r="V13" s="2173"/>
      <c r="W13" s="1600"/>
      <c r="X13" s="2158"/>
      <c r="Y13" s="2158"/>
      <c r="Z13" s="1519"/>
      <c r="AA13" s="1602"/>
      <c r="AB13" s="2197"/>
      <c r="AC13" s="2197"/>
      <c r="AD13" s="2197"/>
      <c r="AE13" s="2197"/>
      <c r="AF13" s="2197"/>
      <c r="AG13" s="2197"/>
      <c r="AH13" s="2197"/>
      <c r="AI13" s="2198"/>
      <c r="AJ13" s="1581"/>
      <c r="BM13" s="300">
        <v>14</v>
      </c>
    </row>
    <row customHeight="1" ht="14.699999999999998">
      <c r="D14" s="2203"/>
      <c r="E14" s="2199"/>
      <c r="F14" s="2199"/>
      <c r="G14" s="2206"/>
      <c r="H14" s="1607"/>
      <c r="I14" s="2202"/>
      <c r="J14" s="2173"/>
      <c r="K14" s="1617"/>
      <c r="L14" s="2158"/>
      <c r="M14" s="2158"/>
      <c r="N14" s="1597"/>
      <c r="O14" s="2158"/>
      <c r="P14" s="2173"/>
      <c r="Q14" s="1598"/>
      <c r="R14" s="2158"/>
      <c r="S14" s="2158"/>
      <c r="T14" s="1603"/>
      <c r="U14" s="1604"/>
      <c r="V14" s="2197"/>
      <c r="W14" s="2197"/>
      <c r="X14" s="2197"/>
      <c r="Y14" s="2197"/>
      <c r="Z14" s="2197"/>
      <c r="AA14" s="2197"/>
      <c r="AB14" s="2197"/>
      <c r="AC14" s="2197"/>
      <c r="AD14" s="2197"/>
      <c r="AE14" s="2197"/>
      <c r="AF14" s="2197"/>
      <c r="AG14" s="2197"/>
      <c r="AH14" s="2197"/>
      <c r="AI14" s="2198"/>
      <c r="AJ14" s="1581"/>
      <c r="BM14" s="300">
        <v>14</v>
      </c>
    </row>
    <row customHeight="1" ht="11.549999999999999">
      <c r="D15" s="2203"/>
      <c r="E15" s="2199"/>
      <c r="F15" s="2199"/>
      <c r="G15" s="2206"/>
      <c r="H15" s="1608"/>
      <c r="I15" s="2202"/>
      <c r="J15" s="2173"/>
      <c r="K15" s="1617"/>
      <c r="L15" s="2158"/>
      <c r="M15" s="2158"/>
      <c r="N15" s="1602"/>
      <c r="O15" s="1602"/>
      <c r="P15" s="2197"/>
      <c r="Q15" s="2197"/>
      <c r="R15" s="2197"/>
      <c r="S15" s="2197"/>
      <c r="T15" s="2197"/>
      <c r="U15" s="2197"/>
      <c r="V15" s="2197"/>
      <c r="W15" s="2197"/>
      <c r="X15" s="2197"/>
      <c r="Y15" s="2197"/>
      <c r="Z15" s="2197"/>
      <c r="AA15" s="2197"/>
      <c r="AB15" s="2197"/>
      <c r="AC15" s="2197"/>
      <c r="AD15" s="2197"/>
      <c r="AE15" s="2197"/>
      <c r="AF15" s="2197"/>
      <c r="AG15" s="2197"/>
      <c r="AH15" s="2197"/>
      <c r="AI15" s="2198"/>
      <c r="AJ15" s="1581"/>
      <c r="BM15" s="300">
        <v>11</v>
      </c>
    </row>
    <row s="1561" customFormat="1" customHeight="1" ht="11.549999999999999">
      <c r="D16" s="2209"/>
      <c r="E16" s="2210"/>
      <c r="F16" s="2200"/>
      <c r="G16" s="2132"/>
      <c r="H16" s="1605"/>
      <c r="I16" s="1609"/>
      <c r="J16" s="2207"/>
      <c r="K16" s="2207"/>
      <c r="L16" s="2207"/>
      <c r="M16" s="2207"/>
      <c r="N16" s="2207"/>
      <c r="O16" s="2207"/>
      <c r="P16" s="2207"/>
      <c r="Q16" s="2207"/>
      <c r="R16" s="2207"/>
      <c r="S16" s="2207"/>
      <c r="T16" s="2207"/>
      <c r="U16" s="2207"/>
      <c r="V16" s="2207"/>
      <c r="W16" s="2207"/>
      <c r="X16" s="2207"/>
      <c r="Y16" s="2207"/>
      <c r="Z16" s="2207"/>
      <c r="AA16" s="2207"/>
      <c r="AB16" s="2207"/>
      <c r="AC16" s="2207"/>
      <c r="AD16" s="2207"/>
      <c r="AE16" s="2207"/>
      <c r="AF16" s="2207"/>
      <c r="AG16" s="2207"/>
      <c r="AH16" s="2207"/>
      <c r="AI16" s="2208"/>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203" t="s">
        <v>110</v>
      </c>
      <c r="E17" s="2199" t="s">
        <v>292</v>
      </c>
      <c r="F17" s="2199" t="s">
        <v>294</v>
      </c>
      <c r="G17" s="2205" t="s">
        <v>19</v>
      </c>
      <c r="H17" s="1606"/>
      <c r="I17" s="2201"/>
      <c r="J17" s="2172"/>
      <c r="K17" s="1521"/>
      <c r="L17" s="2157"/>
      <c r="M17" s="2157"/>
      <c r="N17" s="1591"/>
      <c r="O17" s="2157"/>
      <c r="P17" s="2172"/>
      <c r="Q17" s="1592"/>
      <c r="R17" s="2157"/>
      <c r="S17" s="2157"/>
      <c r="T17" s="1593"/>
      <c r="U17" s="2157"/>
      <c r="V17" s="2172"/>
      <c r="W17" s="1594"/>
      <c r="X17" s="2157"/>
      <c r="Y17" s="2157"/>
      <c r="Z17" s="1591"/>
      <c r="AA17" s="2157"/>
      <c r="AB17" s="2172"/>
      <c r="AC17" s="1595"/>
      <c r="AD17" s="2157"/>
      <c r="AE17" s="2157"/>
      <c r="AF17" s="1520"/>
      <c r="AG17" s="1520"/>
      <c r="AH17" s="1596"/>
      <c r="AI17" s="1303"/>
      <c r="AJ17" s="1581"/>
      <c r="BM17" s="300">
        <v>14</v>
      </c>
    </row>
    <row customHeight="1" ht="14.699999999999998">
      <c r="D18" s="2203"/>
      <c r="E18" s="2199"/>
      <c r="F18" s="2199"/>
      <c r="G18" s="2206"/>
      <c r="H18" s="1607"/>
      <c r="I18" s="2202"/>
      <c r="J18" s="2173"/>
      <c r="K18" s="1590"/>
      <c r="L18" s="2158"/>
      <c r="M18" s="2158"/>
      <c r="N18" s="1597"/>
      <c r="O18" s="2158"/>
      <c r="P18" s="2173"/>
      <c r="Q18" s="1598"/>
      <c r="R18" s="2158"/>
      <c r="S18" s="2158"/>
      <c r="T18" s="1599"/>
      <c r="U18" s="2158"/>
      <c r="V18" s="2173"/>
      <c r="W18" s="1600"/>
      <c r="X18" s="2158"/>
      <c r="Y18" s="2158"/>
      <c r="Z18" s="1597"/>
      <c r="AA18" s="2158"/>
      <c r="AB18" s="2173"/>
      <c r="AC18" s="1601"/>
      <c r="AD18" s="2158"/>
      <c r="AE18" s="2158"/>
      <c r="AF18" s="1602"/>
      <c r="AG18" s="1602"/>
      <c r="AH18" s="2197"/>
      <c r="AI18" s="2198"/>
      <c r="AJ18" s="1581"/>
      <c r="BM18" s="300">
        <v>14</v>
      </c>
    </row>
    <row customHeight="1" ht="14.699999999999998">
      <c r="D19" s="2203"/>
      <c r="E19" s="2199"/>
      <c r="F19" s="2199"/>
      <c r="G19" s="2206"/>
      <c r="H19" s="1607"/>
      <c r="I19" s="2202"/>
      <c r="J19" s="2173"/>
      <c r="K19" s="1590"/>
      <c r="L19" s="2158"/>
      <c r="M19" s="2158"/>
      <c r="N19" s="1597"/>
      <c r="O19" s="2158"/>
      <c r="P19" s="2173"/>
      <c r="Q19" s="1598"/>
      <c r="R19" s="2158"/>
      <c r="S19" s="2158"/>
      <c r="T19" s="1599"/>
      <c r="U19" s="2158"/>
      <c r="V19" s="2173"/>
      <c r="W19" s="1600"/>
      <c r="X19" s="2158"/>
      <c r="Y19" s="2158"/>
      <c r="Z19" s="1519"/>
      <c r="AA19" s="1602"/>
      <c r="AB19" s="2197"/>
      <c r="AC19" s="2197"/>
      <c r="AD19" s="2197"/>
      <c r="AE19" s="2197"/>
      <c r="AF19" s="2197"/>
      <c r="AG19" s="2197"/>
      <c r="AH19" s="2197"/>
      <c r="AI19" s="2198"/>
      <c r="AJ19" s="1581"/>
      <c r="BM19" s="300">
        <v>14</v>
      </c>
    </row>
    <row customHeight="1" ht="14.699999999999998">
      <c r="D20" s="2203"/>
      <c r="E20" s="2199"/>
      <c r="F20" s="2199"/>
      <c r="G20" s="2206"/>
      <c r="H20" s="1607"/>
      <c r="I20" s="2202"/>
      <c r="J20" s="2173"/>
      <c r="K20" s="1590"/>
      <c r="L20" s="2158"/>
      <c r="M20" s="2158"/>
      <c r="N20" s="1597"/>
      <c r="O20" s="2158"/>
      <c r="P20" s="2173"/>
      <c r="Q20" s="1598"/>
      <c r="R20" s="2158"/>
      <c r="S20" s="2158"/>
      <c r="T20" s="1603"/>
      <c r="U20" s="1604"/>
      <c r="V20" s="2197"/>
      <c r="W20" s="2197"/>
      <c r="X20" s="2197"/>
      <c r="Y20" s="2197"/>
      <c r="Z20" s="2197"/>
      <c r="AA20" s="2197"/>
      <c r="AB20" s="2197"/>
      <c r="AC20" s="2197"/>
      <c r="AD20" s="2197"/>
      <c r="AE20" s="2197"/>
      <c r="AF20" s="2197"/>
      <c r="AG20" s="2197"/>
      <c r="AH20" s="2197"/>
      <c r="AI20" s="2198"/>
      <c r="AJ20" s="1581"/>
      <c r="BM20" s="300">
        <v>14</v>
      </c>
    </row>
    <row customHeight="1" ht="11.549999999999999">
      <c r="D21" s="2203"/>
      <c r="E21" s="2199"/>
      <c r="F21" s="2199"/>
      <c r="G21" s="2206"/>
      <c r="H21" s="1608"/>
      <c r="I21" s="2202"/>
      <c r="J21" s="2173"/>
      <c r="K21" s="1590"/>
      <c r="L21" s="2158"/>
      <c r="M21" s="2158"/>
      <c r="N21" s="1602"/>
      <c r="O21" s="1602"/>
      <c r="P21" s="2197"/>
      <c r="Q21" s="2197"/>
      <c r="R21" s="2197"/>
      <c r="S21" s="2197"/>
      <c r="T21" s="2197"/>
      <c r="U21" s="2197"/>
      <c r="V21" s="2197"/>
      <c r="W21" s="2197"/>
      <c r="X21" s="2197"/>
      <c r="Y21" s="2197"/>
      <c r="Z21" s="2197"/>
      <c r="AA21" s="2197"/>
      <c r="AB21" s="2197"/>
      <c r="AC21" s="2197"/>
      <c r="AD21" s="2197"/>
      <c r="AE21" s="2197"/>
      <c r="AF21" s="2197"/>
      <c r="AG21" s="2197"/>
      <c r="AH21" s="2197"/>
      <c r="AI21" s="2198"/>
      <c r="AJ21" s="1581"/>
      <c r="BM21" s="300">
        <v>11</v>
      </c>
    </row>
    <row s="1561" customFormat="1" customHeight="1" ht="11.549999999999999">
      <c r="D22" s="2209"/>
      <c r="E22" s="2210"/>
      <c r="F22" s="2200"/>
      <c r="G22" s="2132"/>
      <c r="H22" s="1605"/>
      <c r="I22" s="1609"/>
      <c r="J22" s="2207"/>
      <c r="K22" s="2207"/>
      <c r="L22" s="2207"/>
      <c r="M22" s="2207"/>
      <c r="N22" s="2207"/>
      <c r="O22" s="2207"/>
      <c r="P22" s="2207"/>
      <c r="Q22" s="2207"/>
      <c r="R22" s="2207"/>
      <c r="S22" s="2207"/>
      <c r="T22" s="2207"/>
      <c r="U22" s="2207"/>
      <c r="V22" s="2207"/>
      <c r="W22" s="2207"/>
      <c r="X22" s="2207"/>
      <c r="Y22" s="2207"/>
      <c r="Z22" s="2207"/>
      <c r="AA22" s="2207"/>
      <c r="AB22" s="2207"/>
      <c r="AC22" s="2207"/>
      <c r="AD22" s="2207"/>
      <c r="AE22" s="2207"/>
      <c r="AF22" s="2207"/>
      <c r="AG22" s="2207"/>
      <c r="AH22" s="2207"/>
      <c r="AI22" s="2208"/>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203" t="s">
        <v>89</v>
      </c>
      <c r="E23" s="2199" t="s">
        <v>292</v>
      </c>
      <c r="F23" s="2199" t="s">
        <v>295</v>
      </c>
      <c r="G23" s="2205" t="s">
        <v>19</v>
      </c>
      <c r="H23" s="1606"/>
      <c r="I23" s="2201"/>
      <c r="J23" s="2172"/>
      <c r="K23" s="1521"/>
      <c r="L23" s="2157"/>
      <c r="M23" s="2157"/>
      <c r="N23" s="1591"/>
      <c r="O23" s="2157"/>
      <c r="P23" s="2172"/>
      <c r="Q23" s="1592"/>
      <c r="R23" s="2157"/>
      <c r="S23" s="2157"/>
      <c r="T23" s="1593"/>
      <c r="U23" s="2157"/>
      <c r="V23" s="2172"/>
      <c r="W23" s="1594"/>
      <c r="X23" s="2157"/>
      <c r="Y23" s="2157"/>
      <c r="Z23" s="1591"/>
      <c r="AA23" s="2157"/>
      <c r="AB23" s="2172"/>
      <c r="AC23" s="1595"/>
      <c r="AD23" s="2157"/>
      <c r="AE23" s="2157"/>
      <c r="AF23" s="1520"/>
      <c r="AG23" s="1520"/>
      <c r="AH23" s="1596"/>
      <c r="AI23" s="1303"/>
      <c r="AJ23" s="1581"/>
      <c r="AK23" s="313" t="s">
        <v>97</v>
      </c>
      <c r="BM23" s="300">
        <v>14</v>
      </c>
    </row>
    <row customHeight="1" ht="14.699999999999998">
      <c r="D24" s="2203"/>
      <c r="E24" s="2199"/>
      <c r="F24" s="2199"/>
      <c r="G24" s="2206"/>
      <c r="H24" s="1607"/>
      <c r="I24" s="2202"/>
      <c r="J24" s="2173"/>
      <c r="K24" s="1617"/>
      <c r="L24" s="2158"/>
      <c r="M24" s="2158"/>
      <c r="N24" s="1597"/>
      <c r="O24" s="2158"/>
      <c r="P24" s="2173"/>
      <c r="Q24" s="1598"/>
      <c r="R24" s="2158"/>
      <c r="S24" s="2158"/>
      <c r="T24" s="1599"/>
      <c r="U24" s="2158"/>
      <c r="V24" s="2173"/>
      <c r="W24" s="1600"/>
      <c r="X24" s="2158"/>
      <c r="Y24" s="2158"/>
      <c r="Z24" s="1597"/>
      <c r="AA24" s="2158"/>
      <c r="AB24" s="2173"/>
      <c r="AC24" s="1601"/>
      <c r="AD24" s="2158"/>
      <c r="AE24" s="2158"/>
      <c r="AF24" s="1602"/>
      <c r="AG24" s="1602"/>
      <c r="AH24" s="2197"/>
      <c r="AI24" s="2198"/>
      <c r="AJ24" s="1581"/>
      <c r="BM24" s="300">
        <v>14</v>
      </c>
    </row>
    <row customHeight="1" ht="14.699999999999998">
      <c r="D25" s="2203"/>
      <c r="E25" s="2199"/>
      <c r="F25" s="2199"/>
      <c r="G25" s="2206"/>
      <c r="H25" s="1607"/>
      <c r="I25" s="2202"/>
      <c r="J25" s="2173"/>
      <c r="K25" s="1617"/>
      <c r="L25" s="2158"/>
      <c r="M25" s="2158"/>
      <c r="N25" s="1597"/>
      <c r="O25" s="2158"/>
      <c r="P25" s="2173"/>
      <c r="Q25" s="1598"/>
      <c r="R25" s="2158"/>
      <c r="S25" s="2158"/>
      <c r="T25" s="1599"/>
      <c r="U25" s="2158"/>
      <c r="V25" s="2173"/>
      <c r="W25" s="1600"/>
      <c r="X25" s="2158"/>
      <c r="Y25" s="2158"/>
      <c r="Z25" s="1519"/>
      <c r="AA25" s="1602"/>
      <c r="AB25" s="2197"/>
      <c r="AC25" s="2197"/>
      <c r="AD25" s="2197"/>
      <c r="AE25" s="2197"/>
      <c r="AF25" s="2197"/>
      <c r="AG25" s="2197"/>
      <c r="AH25" s="2197"/>
      <c r="AI25" s="2198"/>
      <c r="AJ25" s="1581"/>
      <c r="BM25" s="300">
        <v>14</v>
      </c>
    </row>
    <row customHeight="1" ht="14.699999999999998">
      <c r="D26" s="2203"/>
      <c r="E26" s="2199"/>
      <c r="F26" s="2199"/>
      <c r="G26" s="2206"/>
      <c r="H26" s="1607"/>
      <c r="I26" s="2202"/>
      <c r="J26" s="2173"/>
      <c r="K26" s="1617"/>
      <c r="L26" s="2158"/>
      <c r="M26" s="2158"/>
      <c r="N26" s="1597"/>
      <c r="O26" s="2158"/>
      <c r="P26" s="2173"/>
      <c r="Q26" s="1598"/>
      <c r="R26" s="2158"/>
      <c r="S26" s="2158"/>
      <c r="T26" s="1603"/>
      <c r="U26" s="1604"/>
      <c r="V26" s="2197"/>
      <c r="W26" s="2197"/>
      <c r="X26" s="2197"/>
      <c r="Y26" s="2197"/>
      <c r="Z26" s="2197"/>
      <c r="AA26" s="2197"/>
      <c r="AB26" s="2197"/>
      <c r="AC26" s="2197"/>
      <c r="AD26" s="2197"/>
      <c r="AE26" s="2197"/>
      <c r="AF26" s="2197"/>
      <c r="AG26" s="2197"/>
      <c r="AH26" s="2197"/>
      <c r="AI26" s="2198"/>
      <c r="AJ26" s="1581"/>
      <c r="BM26" s="300">
        <v>14</v>
      </c>
    </row>
    <row customHeight="1" ht="11.549999999999999">
      <c r="D27" s="2203"/>
      <c r="E27" s="2199"/>
      <c r="F27" s="2199"/>
      <c r="G27" s="2206"/>
      <c r="H27" s="1608"/>
      <c r="I27" s="2202"/>
      <c r="J27" s="2173"/>
      <c r="K27" s="1617"/>
      <c r="L27" s="2158"/>
      <c r="M27" s="2158"/>
      <c r="N27" s="1602"/>
      <c r="O27" s="1602"/>
      <c r="P27" s="2197"/>
      <c r="Q27" s="2197"/>
      <c r="R27" s="2197"/>
      <c r="S27" s="2197"/>
      <c r="T27" s="2197"/>
      <c r="U27" s="2197"/>
      <c r="V27" s="2197"/>
      <c r="W27" s="2197"/>
      <c r="X27" s="2197"/>
      <c r="Y27" s="2197"/>
      <c r="Z27" s="2197"/>
      <c r="AA27" s="2197"/>
      <c r="AB27" s="2197"/>
      <c r="AC27" s="2197"/>
      <c r="AD27" s="2197"/>
      <c r="AE27" s="2197"/>
      <c r="AF27" s="2197"/>
      <c r="AG27" s="2197"/>
      <c r="AH27" s="2197"/>
      <c r="AI27" s="2198"/>
      <c r="AJ27" s="1581"/>
      <c r="BM27" s="300">
        <v>11</v>
      </c>
    </row>
    <row s="1561" customFormat="1" customHeight="1" ht="11.549999999999999">
      <c r="D28" s="2209"/>
      <c r="E28" s="2210"/>
      <c r="F28" s="2200"/>
      <c r="G28" s="2132"/>
      <c r="H28" s="1605"/>
      <c r="I28" s="1609"/>
      <c r="J28" s="2207"/>
      <c r="K28" s="2207"/>
      <c r="L28" s="2207"/>
      <c r="M28" s="2207"/>
      <c r="N28" s="2207"/>
      <c r="O28" s="2207"/>
      <c r="P28" s="2207"/>
      <c r="Q28" s="2207"/>
      <c r="R28" s="2207"/>
      <c r="S28" s="2207"/>
      <c r="T28" s="2207"/>
      <c r="U28" s="2207"/>
      <c r="V28" s="2207"/>
      <c r="W28" s="2207"/>
      <c r="X28" s="2207"/>
      <c r="Y28" s="2207"/>
      <c r="Z28" s="2207"/>
      <c r="AA28" s="2207"/>
      <c r="AB28" s="2207"/>
      <c r="AC28" s="2207"/>
      <c r="AD28" s="2207"/>
      <c r="AE28" s="2207"/>
      <c r="AF28" s="2207"/>
      <c r="AG28" s="2207"/>
      <c r="AH28" s="2207"/>
      <c r="AI28" s="2208"/>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203" t="s">
        <v>90</v>
      </c>
      <c r="E29" s="2199" t="s">
        <v>292</v>
      </c>
      <c r="F29" s="2199" t="s">
        <v>296</v>
      </c>
      <c r="G29" s="2205" t="s">
        <v>19</v>
      </c>
      <c r="H29" s="1606"/>
      <c r="I29" s="2201"/>
      <c r="J29" s="2172"/>
      <c r="K29" s="1521"/>
      <c r="L29" s="2157"/>
      <c r="M29" s="2157"/>
      <c r="N29" s="1591"/>
      <c r="O29" s="2157"/>
      <c r="P29" s="2172"/>
      <c r="Q29" s="1592"/>
      <c r="R29" s="2157"/>
      <c r="S29" s="2157"/>
      <c r="T29" s="1593"/>
      <c r="U29" s="2157"/>
      <c r="V29" s="2172"/>
      <c r="W29" s="1594"/>
      <c r="X29" s="2157"/>
      <c r="Y29" s="2157"/>
      <c r="Z29" s="1591"/>
      <c r="AA29" s="2157"/>
      <c r="AB29" s="2172"/>
      <c r="AC29" s="1595"/>
      <c r="AD29" s="2157"/>
      <c r="AE29" s="2157"/>
      <c r="AF29" s="1520"/>
      <c r="AG29" s="1520"/>
      <c r="AH29" s="1596"/>
      <c r="AI29" s="1303"/>
      <c r="AJ29" s="1581"/>
      <c r="BM29" s="300">
        <v>14</v>
      </c>
    </row>
    <row customHeight="1" ht="14.699999999999998">
      <c r="D30" s="2203"/>
      <c r="E30" s="2199"/>
      <c r="F30" s="2199"/>
      <c r="G30" s="2206"/>
      <c r="H30" s="1607"/>
      <c r="I30" s="2202"/>
      <c r="J30" s="2173"/>
      <c r="K30" s="1590"/>
      <c r="L30" s="2158"/>
      <c r="M30" s="2158"/>
      <c r="N30" s="1597"/>
      <c r="O30" s="2158"/>
      <c r="P30" s="2173"/>
      <c r="Q30" s="1598"/>
      <c r="R30" s="2158"/>
      <c r="S30" s="2158"/>
      <c r="T30" s="1599"/>
      <c r="U30" s="2158"/>
      <c r="V30" s="2173"/>
      <c r="W30" s="1600"/>
      <c r="X30" s="2158"/>
      <c r="Y30" s="2158"/>
      <c r="Z30" s="1597"/>
      <c r="AA30" s="2158"/>
      <c r="AB30" s="2173"/>
      <c r="AC30" s="1601"/>
      <c r="AD30" s="2158"/>
      <c r="AE30" s="2158"/>
      <c r="AF30" s="1602"/>
      <c r="AG30" s="1602"/>
      <c r="AH30" s="2197"/>
      <c r="AI30" s="2198"/>
      <c r="AJ30" s="1581"/>
      <c r="BM30" s="300">
        <v>14</v>
      </c>
    </row>
    <row customHeight="1" ht="14.699999999999998">
      <c r="D31" s="2203"/>
      <c r="E31" s="2199"/>
      <c r="F31" s="2199"/>
      <c r="G31" s="2206"/>
      <c r="H31" s="1607"/>
      <c r="I31" s="2202"/>
      <c r="J31" s="2173"/>
      <c r="K31" s="1590"/>
      <c r="L31" s="2158"/>
      <c r="M31" s="2158"/>
      <c r="N31" s="1597"/>
      <c r="O31" s="2158"/>
      <c r="P31" s="2173"/>
      <c r="Q31" s="1598"/>
      <c r="R31" s="2158"/>
      <c r="S31" s="2158"/>
      <c r="T31" s="1599"/>
      <c r="U31" s="2158"/>
      <c r="V31" s="2173"/>
      <c r="W31" s="1600"/>
      <c r="X31" s="2158"/>
      <c r="Y31" s="2158"/>
      <c r="Z31" s="1519"/>
      <c r="AA31" s="1602"/>
      <c r="AB31" s="2197"/>
      <c r="AC31" s="2197"/>
      <c r="AD31" s="2197"/>
      <c r="AE31" s="2197"/>
      <c r="AF31" s="2197"/>
      <c r="AG31" s="2197"/>
      <c r="AH31" s="2197"/>
      <c r="AI31" s="2198"/>
      <c r="AJ31" s="1581"/>
      <c r="BM31" s="300">
        <v>14</v>
      </c>
    </row>
    <row customHeight="1" ht="14.699999999999998">
      <c r="D32" s="2203"/>
      <c r="E32" s="2199"/>
      <c r="F32" s="2199"/>
      <c r="G32" s="2206"/>
      <c r="H32" s="1607"/>
      <c r="I32" s="2202"/>
      <c r="J32" s="2173"/>
      <c r="K32" s="1590"/>
      <c r="L32" s="2158"/>
      <c r="M32" s="2158"/>
      <c r="N32" s="1597"/>
      <c r="O32" s="2158"/>
      <c r="P32" s="2173"/>
      <c r="Q32" s="1598"/>
      <c r="R32" s="2158"/>
      <c r="S32" s="2158"/>
      <c r="T32" s="1603"/>
      <c r="U32" s="1604"/>
      <c r="V32" s="2197"/>
      <c r="W32" s="2197"/>
      <c r="X32" s="2197"/>
      <c r="Y32" s="2197"/>
      <c r="Z32" s="2197"/>
      <c r="AA32" s="2197"/>
      <c r="AB32" s="2197"/>
      <c r="AC32" s="2197"/>
      <c r="AD32" s="2197"/>
      <c r="AE32" s="2197"/>
      <c r="AF32" s="2197"/>
      <c r="AG32" s="2197"/>
      <c r="AH32" s="2197"/>
      <c r="AI32" s="2198"/>
      <c r="AJ32" s="1581"/>
      <c r="BM32" s="300">
        <v>14</v>
      </c>
    </row>
    <row customHeight="1" ht="11.549999999999999">
      <c r="D33" s="2203"/>
      <c r="E33" s="2199"/>
      <c r="F33" s="2199"/>
      <c r="G33" s="2206"/>
      <c r="H33" s="1608"/>
      <c r="I33" s="2202"/>
      <c r="J33" s="2173"/>
      <c r="K33" s="1590"/>
      <c r="L33" s="2158"/>
      <c r="M33" s="2158"/>
      <c r="N33" s="1602"/>
      <c r="O33" s="1602"/>
      <c r="P33" s="2197"/>
      <c r="Q33" s="2197"/>
      <c r="R33" s="2197"/>
      <c r="S33" s="2197"/>
      <c r="T33" s="2197"/>
      <c r="U33" s="2197"/>
      <c r="V33" s="2197"/>
      <c r="W33" s="2197"/>
      <c r="X33" s="2197"/>
      <c r="Y33" s="2197"/>
      <c r="Z33" s="2197"/>
      <c r="AA33" s="2197"/>
      <c r="AB33" s="2197"/>
      <c r="AC33" s="2197"/>
      <c r="AD33" s="2197"/>
      <c r="AE33" s="2197"/>
      <c r="AF33" s="2197"/>
      <c r="AG33" s="2197"/>
      <c r="AH33" s="2197"/>
      <c r="AI33" s="2198"/>
      <c r="AJ33" s="1581"/>
      <c r="BM33" s="300">
        <v>11</v>
      </c>
    </row>
    <row s="1561" customFormat="1" customHeight="1" ht="11.549999999999999">
      <c r="D34" s="2209"/>
      <c r="E34" s="2210"/>
      <c r="F34" s="2200"/>
      <c r="G34" s="2132"/>
      <c r="H34" s="1605"/>
      <c r="I34" s="1609"/>
      <c r="J34" s="2207"/>
      <c r="K34" s="2207"/>
      <c r="L34" s="2207"/>
      <c r="M34" s="2207"/>
      <c r="N34" s="2207"/>
      <c r="O34" s="2207"/>
      <c r="P34" s="2207"/>
      <c r="Q34" s="2207"/>
      <c r="R34" s="2207"/>
      <c r="S34" s="2207"/>
      <c r="T34" s="2207"/>
      <c r="U34" s="2207"/>
      <c r="V34" s="2207"/>
      <c r="W34" s="2207"/>
      <c r="X34" s="2207"/>
      <c r="Y34" s="2207"/>
      <c r="Z34" s="2207"/>
      <c r="AA34" s="2207"/>
      <c r="AB34" s="2207"/>
      <c r="AC34" s="2207"/>
      <c r="AD34" s="2207"/>
      <c r="AE34" s="2207"/>
      <c r="AF34" s="2207"/>
      <c r="AG34" s="2207"/>
      <c r="AH34" s="2207"/>
      <c r="AI34" s="2208"/>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203" t="s">
        <v>111</v>
      </c>
      <c r="E35" s="2199" t="s">
        <v>292</v>
      </c>
      <c r="F35" s="2199" t="s">
        <v>297</v>
      </c>
      <c r="G35" s="2205" t="s">
        <v>19</v>
      </c>
      <c r="H35" s="1606"/>
      <c r="I35" s="2201"/>
      <c r="J35" s="2172"/>
      <c r="K35" s="1521"/>
      <c r="L35" s="2157"/>
      <c r="M35" s="2157"/>
      <c r="N35" s="1591"/>
      <c r="O35" s="2157"/>
      <c r="P35" s="2172"/>
      <c r="Q35" s="1592"/>
      <c r="R35" s="2157"/>
      <c r="S35" s="2157"/>
      <c r="T35" s="1593"/>
      <c r="U35" s="2157"/>
      <c r="V35" s="2172"/>
      <c r="W35" s="1594"/>
      <c r="X35" s="2157"/>
      <c r="Y35" s="2157"/>
      <c r="Z35" s="1591"/>
      <c r="AA35" s="2157"/>
      <c r="AB35" s="2172"/>
      <c r="AC35" s="1595"/>
      <c r="AD35" s="2157"/>
      <c r="AE35" s="2157"/>
      <c r="AF35" s="1520"/>
      <c r="AG35" s="1520"/>
      <c r="AH35" s="1596"/>
      <c r="AI35" s="1303"/>
      <c r="AJ35" s="1581"/>
      <c r="BM35" s="300">
        <v>14</v>
      </c>
    </row>
    <row customHeight="1" ht="14.699999999999998">
      <c r="D36" s="2203"/>
      <c r="E36" s="2199"/>
      <c r="F36" s="2199"/>
      <c r="G36" s="2206"/>
      <c r="H36" s="1607"/>
      <c r="I36" s="2202"/>
      <c r="J36" s="2173"/>
      <c r="K36" s="1590"/>
      <c r="L36" s="2158"/>
      <c r="M36" s="2158"/>
      <c r="N36" s="1597"/>
      <c r="O36" s="2158"/>
      <c r="P36" s="2173"/>
      <c r="Q36" s="1598"/>
      <c r="R36" s="2158"/>
      <c r="S36" s="2158"/>
      <c r="T36" s="1599"/>
      <c r="U36" s="2158"/>
      <c r="V36" s="2173"/>
      <c r="W36" s="1600"/>
      <c r="X36" s="2158"/>
      <c r="Y36" s="2158"/>
      <c r="Z36" s="1597"/>
      <c r="AA36" s="2158"/>
      <c r="AB36" s="2173"/>
      <c r="AC36" s="1601"/>
      <c r="AD36" s="2158"/>
      <c r="AE36" s="2158"/>
      <c r="AF36" s="1602"/>
      <c r="AG36" s="1602"/>
      <c r="AH36" s="2197"/>
      <c r="AI36" s="2198"/>
      <c r="AJ36" s="1581"/>
      <c r="BM36" s="300">
        <v>14</v>
      </c>
    </row>
    <row customHeight="1" ht="14.699999999999998">
      <c r="D37" s="2203"/>
      <c r="E37" s="2199"/>
      <c r="F37" s="2199"/>
      <c r="G37" s="2206"/>
      <c r="H37" s="1607"/>
      <c r="I37" s="2202"/>
      <c r="J37" s="2173"/>
      <c r="K37" s="1590"/>
      <c r="L37" s="2158"/>
      <c r="M37" s="2158"/>
      <c r="N37" s="1597"/>
      <c r="O37" s="2158"/>
      <c r="P37" s="2173"/>
      <c r="Q37" s="1598"/>
      <c r="R37" s="2158"/>
      <c r="S37" s="2158"/>
      <c r="T37" s="1599"/>
      <c r="U37" s="2158"/>
      <c r="V37" s="2173"/>
      <c r="W37" s="1600"/>
      <c r="X37" s="2158"/>
      <c r="Y37" s="2158"/>
      <c r="Z37" s="1519"/>
      <c r="AA37" s="1602"/>
      <c r="AB37" s="2197"/>
      <c r="AC37" s="2197"/>
      <c r="AD37" s="2197"/>
      <c r="AE37" s="2197"/>
      <c r="AF37" s="2197"/>
      <c r="AG37" s="2197"/>
      <c r="AH37" s="2197"/>
      <c r="AI37" s="2198"/>
      <c r="AJ37" s="1581"/>
      <c r="BM37" s="300">
        <v>14</v>
      </c>
    </row>
    <row customHeight="1" ht="14.699999999999998">
      <c r="D38" s="2203"/>
      <c r="E38" s="2199"/>
      <c r="F38" s="2199"/>
      <c r="G38" s="2206"/>
      <c r="H38" s="1607"/>
      <c r="I38" s="2202"/>
      <c r="J38" s="2173"/>
      <c r="K38" s="1590"/>
      <c r="L38" s="2158"/>
      <c r="M38" s="2158"/>
      <c r="N38" s="1597"/>
      <c r="O38" s="2158"/>
      <c r="P38" s="2173"/>
      <c r="Q38" s="1598"/>
      <c r="R38" s="2158"/>
      <c r="S38" s="2158"/>
      <c r="T38" s="1603"/>
      <c r="U38" s="1604"/>
      <c r="V38" s="2197"/>
      <c r="W38" s="2197"/>
      <c r="X38" s="2197"/>
      <c r="Y38" s="2197"/>
      <c r="Z38" s="2197"/>
      <c r="AA38" s="2197"/>
      <c r="AB38" s="2197"/>
      <c r="AC38" s="2197"/>
      <c r="AD38" s="2197"/>
      <c r="AE38" s="2197"/>
      <c r="AF38" s="2197"/>
      <c r="AG38" s="2197"/>
      <c r="AH38" s="2197"/>
      <c r="AI38" s="2198"/>
      <c r="AJ38" s="1581"/>
      <c r="BM38" s="300">
        <v>14</v>
      </c>
    </row>
    <row customHeight="1" ht="11.549999999999999">
      <c r="D39" s="2203"/>
      <c r="E39" s="2199"/>
      <c r="F39" s="2199"/>
      <c r="G39" s="2206"/>
      <c r="H39" s="1608"/>
      <c r="I39" s="2202"/>
      <c r="J39" s="2173"/>
      <c r="K39" s="1590"/>
      <c r="L39" s="2158"/>
      <c r="M39" s="2158"/>
      <c r="N39" s="1602"/>
      <c r="O39" s="1602"/>
      <c r="P39" s="2197"/>
      <c r="Q39" s="2197"/>
      <c r="R39" s="2197"/>
      <c r="S39" s="2197"/>
      <c r="T39" s="2197"/>
      <c r="U39" s="2197"/>
      <c r="V39" s="2197"/>
      <c r="W39" s="2197"/>
      <c r="X39" s="2197"/>
      <c r="Y39" s="2197"/>
      <c r="Z39" s="2197"/>
      <c r="AA39" s="2197"/>
      <c r="AB39" s="2197"/>
      <c r="AC39" s="2197"/>
      <c r="AD39" s="2197"/>
      <c r="AE39" s="2197"/>
      <c r="AF39" s="2197"/>
      <c r="AG39" s="2197"/>
      <c r="AH39" s="2197"/>
      <c r="AI39" s="2198"/>
      <c r="AJ39" s="1581"/>
      <c r="BM39" s="300">
        <v>11</v>
      </c>
    </row>
    <row s="1561" customFormat="1" customHeight="1" ht="11.549999999999999">
      <c r="D40" s="2203"/>
      <c r="E40" s="2199"/>
      <c r="F40" s="2204"/>
      <c r="G40" s="2132"/>
      <c r="H40" s="1605"/>
      <c r="I40" s="1609"/>
      <c r="J40" s="2207"/>
      <c r="K40" s="2207"/>
      <c r="L40" s="2207"/>
      <c r="M40" s="2207"/>
      <c r="N40" s="2207"/>
      <c r="O40" s="2207"/>
      <c r="P40" s="2207"/>
      <c r="Q40" s="2207"/>
      <c r="R40" s="2207"/>
      <c r="S40" s="2207"/>
      <c r="T40" s="2207"/>
      <c r="U40" s="2207"/>
      <c r="V40" s="2207"/>
      <c r="W40" s="2207"/>
      <c r="X40" s="2207"/>
      <c r="Y40" s="2207"/>
      <c r="Z40" s="2207"/>
      <c r="AA40" s="2207"/>
      <c r="AB40" s="2207"/>
      <c r="AC40" s="2207"/>
      <c r="AD40" s="2207"/>
      <c r="AE40" s="2207"/>
      <c r="AF40" s="2207"/>
      <c r="AG40" s="2207"/>
      <c r="AH40" s="2207"/>
      <c r="AI40" s="2208"/>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81</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30ADC-F994-EA1B-7CD1-0.9F97384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6" t="s">
        <v>14</v>
      </c>
    </row>
    <row customHeight="1" ht="22.5">
      <c r="B2" s="2634" t="s">
        <v>1989</v>
      </c>
      <c r="C2" s="2520"/>
      <c r="D2" s="2520"/>
      <c r="E2" s="275"/>
      <c r="F2" s="96">
        <v>22</v>
      </c>
    </row>
    <row customHeight="1" ht="3">
      <c r="F3" s="96">
        <v>3</v>
      </c>
    </row>
    <row customHeight="1" ht="23.25">
      <c r="B4" s="2635" t="s">
        <v>1990</v>
      </c>
      <c r="C4" s="390" t="s">
        <v>1991</v>
      </c>
      <c r="D4" s="390" t="s">
        <v>1992</v>
      </c>
      <c r="F4" s="96">
        <v>22</v>
      </c>
    </row>
    <row customHeight="1" ht="11.25" hidden="1">
      <c r="A5" s="96" t="s">
        <v>81</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2FF35-B4A1-C555-7CF7-0.21A8EE4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21" customFormat="1" customHeight="1" ht="17.25">
      <c r="A2" s="1821" t="s">
        <v>1993</v>
      </c>
    </row>
    <row r="4" s="271" customFormat="1" customHeight="1" ht="15">
      <c r="C4" s="1822"/>
      <c r="D4" s="120"/>
      <c r="E4" s="384"/>
    </row>
    <row r="6" s="1821" customFormat="1" customHeight="1" ht="17.25">
      <c r="A6" s="1821" t="s">
        <v>1994</v>
      </c>
    </row>
    <row r="8" s="271" customFormat="1" customHeight="1" ht="17.25">
      <c r="C8" s="1823"/>
      <c r="D8" s="120"/>
      <c r="E8" s="121"/>
    </row>
    <row r="11" s="1821" customFormat="1" customHeight="1" ht="17.25">
      <c r="A11" s="1821" t="s">
        <v>1995</v>
      </c>
    </row>
    <row r="13" s="1825" customFormat="1" customHeight="1" ht="15">
      <c r="A13" s="2237">
        <v>1</v>
      </c>
      <c r="B13" s="1167"/>
      <c r="C13" s="808" t="s">
        <v>576</v>
      </c>
      <c r="D13" s="1824"/>
      <c r="E13" s="1811">
        <f>A13</f>
        <v>1</v>
      </c>
      <c r="F13" s="811"/>
      <c r="G13" s="547" t="str">
        <f>"Территория "&amp;E13</f>
        <v>Территория 1</v>
      </c>
      <c r="H13" s="799"/>
      <c r="I13" s="799"/>
      <c r="J13" s="796"/>
      <c r="K13" s="1631"/>
      <c r="L13" s="1631"/>
      <c r="M13" s="1631"/>
      <c r="N13" s="233"/>
      <c r="O13" s="1631"/>
      <c r="P13" s="232"/>
      <c r="Q13" s="232"/>
      <c r="R13" s="232"/>
      <c r="S13" s="232"/>
    </row>
    <row s="1854" customFormat="1" customHeight="1" ht="15">
      <c r="A14" s="2237"/>
      <c r="B14" s="1167">
        <v>1</v>
      </c>
      <c r="C14" s="1167"/>
      <c r="D14" s="807"/>
      <c r="E14" s="1819"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4" customFormat="1" customHeight="1" ht="15">
      <c r="A15" s="2237"/>
      <c r="B15" s="1167"/>
      <c r="C15" s="419"/>
      <c r="D15" s="808"/>
      <c r="E15" s="428"/>
      <c r="F15" s="184"/>
      <c r="G15" s="422" t="s">
        <v>102</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1" customFormat="1" customHeight="1" ht="17.25">
      <c r="A17" s="1821" t="s">
        <v>1996</v>
      </c>
    </row>
    <row r="19" s="1854" customFormat="1" customHeight="1" ht="15">
      <c r="A19" s="1886"/>
      <c r="B19" s="1373">
        <v>1</v>
      </c>
      <c r="C19" s="1373"/>
      <c r="D19" s="807" t="s">
        <v>576</v>
      </c>
      <c r="E19" s="1882"/>
      <c r="F19" s="1887">
        <f>$F$20</f>
        <v>0</v>
      </c>
      <c r="G19" s="1891"/>
      <c r="H19" s="1891"/>
      <c r="I19" s="1889"/>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4" customFormat="1" customHeight="1" ht="15">
      <c r="A21" s="1821" t="s">
        <v>1997</v>
      </c>
      <c r="B21" s="1821"/>
      <c r="C21" s="1821"/>
      <c r="D21" s="1821"/>
      <c r="E21" s="1821"/>
      <c r="F21" s="1821"/>
      <c r="G21" s="1821"/>
      <c r="H21" s="1821"/>
      <c r="I21" s="1821"/>
      <c r="J21" s="1821"/>
      <c r="K21" s="1821"/>
      <c r="L21" s="1821"/>
      <c r="M21" s="1821"/>
      <c r="N21" s="1821"/>
      <c r="O21" s="1821"/>
      <c r="P21" s="1821"/>
      <c r="Q21" s="1821"/>
      <c r="R21" s="1821"/>
      <c r="S21" s="1821"/>
      <c r="T21" s="1821"/>
      <c r="U21" s="191"/>
      <c r="V21" s="1821"/>
      <c r="W21" s="1821"/>
    </row>
    <row s="1854" customFormat="1" customHeight="1" ht="15">
      <c r="U22" s="192"/>
    </row>
    <row s="1857" customFormat="1" customHeight="1" ht="15">
      <c r="A23" s="430"/>
      <c r="B23" s="430"/>
      <c r="C23" s="1734" t="s">
        <v>576</v>
      </c>
      <c r="D23" s="2128" t="s">
        <v>109</v>
      </c>
      <c r="E23" s="2129"/>
      <c r="F23" s="2127" t="s">
        <v>19</v>
      </c>
      <c r="G23" s="2577"/>
      <c r="H23" s="2147">
        <v>1</v>
      </c>
      <c r="I23" s="2579" t="str">
        <f>IF(U23="","",INDEX(TERRITORY_MR_LIST,MATCH(U23,TERRITORY_LIST_ID,0)))</f>
        <v/>
      </c>
      <c r="J23" s="2127" t="s">
        <v>19</v>
      </c>
      <c r="K23" s="839"/>
      <c r="L23" s="1788" t="s">
        <v>109</v>
      </c>
      <c r="M23" s="610"/>
      <c r="N23" s="611"/>
      <c r="O23" s="611"/>
      <c r="P23" s="611"/>
      <c r="Q23" s="611"/>
      <c r="R23" s="611"/>
      <c r="S23" s="611"/>
      <c r="T23" s="611"/>
      <c r="U23" s="612"/>
      <c r="V23" s="611"/>
      <c r="W23" s="611"/>
      <c r="X23" s="602"/>
      <c r="Y23" s="602" t="s">
        <v>119</v>
      </c>
      <c r="Z23" s="602">
        <v>1705000</v>
      </c>
      <c r="AA23" s="602"/>
      <c r="AB23" s="602"/>
      <c r="AC23" s="602"/>
      <c r="AD23" s="602"/>
      <c r="AE23" s="602"/>
      <c r="AF23" s="602"/>
      <c r="AG23" s="602"/>
      <c r="AH23" s="602"/>
      <c r="AI23" s="602"/>
      <c r="AJ23" s="602"/>
      <c r="AK23" s="602"/>
      <c r="AL23" s="602"/>
    </row>
    <row s="1857" customFormat="1" customHeight="1" ht="15">
      <c r="A24" s="430"/>
      <c r="B24" s="430"/>
      <c r="C24" s="183"/>
      <c r="D24" s="2128"/>
      <c r="E24" s="2130"/>
      <c r="F24" s="2127"/>
      <c r="G24" s="2578"/>
      <c r="H24" s="2147"/>
      <c r="I24" s="2580"/>
      <c r="J24" s="2127"/>
      <c r="K24" s="428"/>
      <c r="L24" s="184"/>
      <c r="M24" s="614" t="s">
        <v>120</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57" customFormat="1" customHeight="1" ht="15">
      <c r="A25" s="430"/>
      <c r="B25" s="430"/>
      <c r="C25" s="183"/>
      <c r="D25" s="2128"/>
      <c r="E25" s="2131"/>
      <c r="F25" s="2127"/>
      <c r="G25" s="428"/>
      <c r="H25" s="184"/>
      <c r="I25" s="587" t="s">
        <v>121</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4" customFormat="1" customHeight="1" ht="15">
      <c r="U26" s="192"/>
    </row>
    <row s="1854" customFormat="1" customHeight="1" ht="15">
      <c r="A27" s="1821" t="s">
        <v>1998</v>
      </c>
      <c r="B27" s="1821"/>
      <c r="C27" s="1821"/>
      <c r="D27" s="1821"/>
      <c r="E27" s="1821"/>
      <c r="F27" s="1821"/>
      <c r="G27" s="1821"/>
      <c r="H27" s="1821"/>
      <c r="I27" s="1821"/>
      <c r="J27" s="1821"/>
      <c r="K27" s="1821"/>
      <c r="L27" s="1821"/>
      <c r="M27" s="1821"/>
      <c r="N27" s="1821"/>
      <c r="O27" s="1821"/>
      <c r="P27" s="1821"/>
      <c r="Q27" s="1821"/>
      <c r="R27" s="1821"/>
      <c r="S27" s="1821"/>
      <c r="T27" s="1821"/>
      <c r="U27" s="191"/>
      <c r="V27" s="1821"/>
      <c r="W27" s="1821"/>
    </row>
    <row s="1854" customFormat="1" customHeight="1" ht="15">
      <c r="U28" s="192"/>
    </row>
    <row s="1857" customFormat="1" customHeight="1" ht="15">
      <c r="A29" s="430"/>
      <c r="B29" s="430"/>
      <c r="C29" s="183"/>
      <c r="D29" s="1827"/>
      <c r="E29" s="1827"/>
      <c r="F29" s="1827"/>
      <c r="G29" s="2581" t="s">
        <v>576</v>
      </c>
      <c r="H29" s="2123">
        <v>1</v>
      </c>
      <c r="I29" s="2582" t="str">
        <f>IF(U29="","",INDEX(TERRITORY_MR_LIST,MATCH(U29,TERRITORY_LIST_ID,0)))</f>
        <v/>
      </c>
      <c r="J29" s="2127" t="s">
        <v>19</v>
      </c>
      <c r="K29" s="839"/>
      <c r="L29" s="1788" t="s">
        <v>109</v>
      </c>
      <c r="M29" s="610"/>
      <c r="N29" s="611"/>
      <c r="O29" s="611"/>
      <c r="P29" s="611"/>
      <c r="Q29" s="611"/>
      <c r="R29" s="611"/>
      <c r="S29" s="611"/>
      <c r="T29" s="611"/>
      <c r="U29" s="612"/>
      <c r="V29" s="611"/>
      <c r="W29" s="611"/>
      <c r="X29" s="602"/>
      <c r="Y29" s="602" t="s">
        <v>119</v>
      </c>
      <c r="Z29" s="602">
        <v>1705000</v>
      </c>
      <c r="AA29" s="602"/>
      <c r="AB29" s="602"/>
      <c r="AC29" s="602"/>
      <c r="AD29" s="602"/>
      <c r="AE29" s="602"/>
      <c r="AF29" s="602"/>
      <c r="AG29" s="602"/>
      <c r="AH29" s="602"/>
      <c r="AI29" s="602"/>
      <c r="AJ29" s="602"/>
      <c r="AK29" s="602"/>
      <c r="AL29" s="602"/>
    </row>
    <row s="1857" customFormat="1" customHeight="1" ht="15">
      <c r="A30" s="430"/>
      <c r="B30" s="430"/>
      <c r="C30" s="183"/>
      <c r="D30" s="1827"/>
      <c r="E30" s="1827"/>
      <c r="F30" s="1827"/>
      <c r="G30" s="2581"/>
      <c r="H30" s="2123"/>
      <c r="I30" s="2582"/>
      <c r="J30" s="2127"/>
      <c r="K30" s="428"/>
      <c r="L30" s="184"/>
      <c r="M30" s="614" t="s">
        <v>120</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4" customFormat="1" customHeight="1" ht="15">
      <c r="U31" s="192"/>
    </row>
    <row s="1854" customFormat="1" customHeight="1" ht="15">
      <c r="A32" s="1821" t="s">
        <v>1999</v>
      </c>
      <c r="B32" s="1821"/>
      <c r="C32" s="1821"/>
      <c r="D32" s="1821"/>
      <c r="E32" s="1821"/>
      <c r="F32" s="1821"/>
      <c r="G32" s="1821"/>
      <c r="H32" s="1821"/>
      <c r="I32" s="1821"/>
      <c r="J32" s="1821"/>
      <c r="K32" s="1821"/>
      <c r="L32" s="1821"/>
      <c r="M32" s="1821"/>
      <c r="N32" s="1821"/>
      <c r="O32" s="1821"/>
      <c r="P32" s="1821"/>
      <c r="Q32" s="1821"/>
      <c r="R32" s="1821"/>
      <c r="S32" s="1821"/>
      <c r="T32" s="1821"/>
      <c r="U32" s="191"/>
      <c r="V32" s="1821"/>
      <c r="W32" s="1821"/>
    </row>
    <row s="1854" customFormat="1" customHeight="1" ht="15">
      <c r="U33" s="192"/>
    </row>
    <row s="1857" customFormat="1" customHeight="1" ht="15">
      <c r="A34" s="430"/>
      <c r="B34" s="430"/>
      <c r="C34" s="183"/>
      <c r="D34" s="1827"/>
      <c r="E34" s="1827"/>
      <c r="F34" s="1827"/>
      <c r="G34" s="1827"/>
      <c r="H34" s="1827"/>
      <c r="I34" s="1827"/>
      <c r="J34" s="1827"/>
      <c r="K34" s="1805" t="s">
        <v>576</v>
      </c>
      <c r="L34" s="1735" t="s">
        <v>109</v>
      </c>
      <c r="M34" s="818"/>
      <c r="N34" s="819"/>
      <c r="O34" s="611"/>
      <c r="P34" s="611"/>
      <c r="Q34" s="611"/>
      <c r="R34" s="611"/>
      <c r="S34" s="611"/>
      <c r="T34" s="611"/>
      <c r="U34" s="612"/>
      <c r="V34" s="611"/>
      <c r="W34" s="611"/>
      <c r="X34" s="602"/>
      <c r="Y34" s="602" t="s">
        <v>119</v>
      </c>
      <c r="Z34" s="602">
        <v>1705000</v>
      </c>
      <c r="AA34" s="602"/>
      <c r="AB34" s="602"/>
      <c r="AC34" s="602"/>
      <c r="AD34" s="602"/>
      <c r="AE34" s="602"/>
      <c r="AF34" s="602"/>
      <c r="AG34" s="602"/>
      <c r="AH34" s="602"/>
      <c r="AI34" s="602"/>
      <c r="AJ34" s="602"/>
      <c r="AK34" s="602"/>
      <c r="AL34" s="602"/>
    </row>
    <row s="1854" customFormat="1" customHeight="1" ht="15">
      <c r="U35" s="192"/>
    </row>
    <row s="1854" customFormat="1" customHeight="1" ht="15">
      <c r="U36" s="192"/>
    </row>
    <row s="1821" customFormat="1" customHeight="1" ht="11.25">
      <c r="A37" s="1821" t="s">
        <v>2000</v>
      </c>
    </row>
    <row customHeight="1" ht="11.25"/>
    <row s="462" customFormat="1" customHeight="1" ht="22.5">
      <c r="A39" s="1797"/>
      <c r="B39" s="464"/>
      <c r="C39" s="866"/>
      <c r="D39" s="447"/>
      <c r="E39" s="867"/>
      <c r="F39" s="1818"/>
      <c r="G39" s="1828"/>
      <c r="H39" s="482"/>
    </row>
    <row customHeight="1" ht="11.25"/>
    <row s="1821" customFormat="1" customHeight="1" ht="11.25">
      <c r="A41" s="1821" t="s">
        <v>2001</v>
      </c>
    </row>
    <row customHeight="1" ht="11.25"/>
    <row s="462" customFormat="1" customHeight="1" ht="22.5">
      <c r="A43" s="464"/>
      <c r="B43" s="464"/>
      <c r="C43" s="464"/>
      <c r="D43" s="447"/>
      <c r="E43" s="867"/>
      <c r="F43" s="868"/>
      <c r="G43" s="1828"/>
      <c r="H43" s="482"/>
    </row>
    <row customHeight="1" ht="11.25"/>
    <row s="1821" customFormat="1" customHeight="1" ht="11.25">
      <c r="A45" s="1821" t="s">
        <v>2002</v>
      </c>
    </row>
    <row customHeight="1" ht="11.25"/>
    <row s="462" customFormat="1" customHeight="1" ht="24">
      <c r="A47" s="2222" t="s">
        <v>312</v>
      </c>
      <c r="B47" s="509"/>
      <c r="C47" s="2233"/>
      <c r="D47" s="452" t="str">
        <f>A47</f>
        <v>5.1</v>
      </c>
      <c r="E47" s="449" t="s">
        <v>313</v>
      </c>
      <c r="F47" s="1980" t="s">
        <v>305</v>
      </c>
      <c r="G47" s="451" t="s">
        <v>314</v>
      </c>
      <c r="H47" s="482"/>
      <c r="I47" s="859"/>
    </row>
    <row s="462" customFormat="1" customHeight="1" ht="22.5">
      <c r="A48" s="2222"/>
      <c r="B48" s="509"/>
      <c r="C48" s="2233"/>
      <c r="D48" s="447" t="str">
        <f>D47&amp;".1"</f>
        <v>5.1.1</v>
      </c>
      <c r="E48" s="446" t="s">
        <v>315</v>
      </c>
      <c r="F48" s="1981" t="s">
        <v>22</v>
      </c>
      <c r="G48" s="481"/>
      <c r="H48" s="482"/>
      <c r="I48" s="859"/>
    </row>
    <row s="462" customFormat="1" customHeight="1" ht="22.5">
      <c r="A49" s="2222"/>
      <c r="B49" s="509"/>
      <c r="C49" s="2233"/>
      <c r="D49" s="447" t="str">
        <f>D47&amp;".2"</f>
        <v>5.1.2</v>
      </c>
      <c r="E49" s="446" t="s">
        <v>316</v>
      </c>
      <c r="F49" s="1738" t="s">
        <v>22</v>
      </c>
      <c r="G49" s="451" t="s">
        <v>317</v>
      </c>
      <c r="H49" s="482"/>
      <c r="I49" s="859"/>
    </row>
    <row s="462" customFormat="1" customHeight="1" ht="22.5">
      <c r="A50" s="2222"/>
      <c r="B50" s="509"/>
      <c r="C50" s="2233"/>
      <c r="D50" s="447" t="str">
        <f>D47&amp;".3"</f>
        <v>5.1.3</v>
      </c>
      <c r="E50" s="446" t="s">
        <v>318</v>
      </c>
      <c r="F50" s="1981" t="s">
        <v>22</v>
      </c>
      <c r="G50" s="481"/>
      <c r="H50" s="482"/>
      <c r="I50" s="859"/>
    </row>
    <row s="462" customFormat="1" customHeight="1" ht="22.5">
      <c r="A51" s="2222"/>
      <c r="B51" s="509"/>
      <c r="C51" s="2233"/>
      <c r="D51" s="447" t="str">
        <f>D47&amp;".4"</f>
        <v>5.1.4</v>
      </c>
      <c r="E51" s="446" t="s">
        <v>319</v>
      </c>
      <c r="F51" s="1981" t="s">
        <v>22</v>
      </c>
      <c r="G51" s="451" t="s">
        <v>320</v>
      </c>
      <c r="H51" s="482"/>
      <c r="I51" s="859"/>
    </row>
    <row r="54" s="1821" customFormat="1" customHeight="1" ht="17.25">
      <c r="A54" s="1821" t="s">
        <v>2003</v>
      </c>
    </row>
    <row r="56" s="1619" customFormat="1" customHeight="1" ht="18.75">
      <c r="A56" s="96"/>
      <c r="B56" s="1829"/>
      <c r="C56" s="1829"/>
      <c r="D56" s="1830"/>
      <c r="E56" s="1815"/>
      <c r="F56" s="875">
        <v>13</v>
      </c>
      <c r="G56" s="874"/>
      <c r="H56" s="800"/>
      <c r="I56" s="798"/>
      <c r="J56" s="527" t="s">
        <v>61</v>
      </c>
      <c r="K56" s="1831" t="s">
        <v>22</v>
      </c>
      <c r="L56" s="96"/>
      <c r="M56" s="1643"/>
      <c r="N56" s="1643"/>
      <c r="O56" s="1643"/>
      <c r="P56" s="523" t="s">
        <v>391</v>
      </c>
      <c r="Q56" s="523" t="s">
        <v>392</v>
      </c>
      <c r="R56" s="524" t="s">
        <v>393</v>
      </c>
      <c r="S56" s="1643" t="s">
        <v>394</v>
      </c>
      <c r="T56" s="1643"/>
      <c r="U56" s="1643"/>
      <c r="V56" s="1643"/>
    </row>
    <row r="58" s="1821" customFormat="1" customHeight="1" ht="11.25">
      <c r="A58" s="1821" t="s">
        <v>2004</v>
      </c>
    </row>
    <row r="60" s="1642" customFormat="1" customHeight="1" ht="14.25">
      <c r="C60" s="1694"/>
      <c r="D60" s="1873"/>
      <c r="E60" s="1783" t="s">
        <v>22</v>
      </c>
      <c r="F60" s="1872"/>
      <c r="G60" s="863"/>
      <c r="H60" s="1784"/>
      <c r="I60" s="1784"/>
      <c r="J60" s="440"/>
      <c r="K60" s="1867"/>
      <c r="L60" s="439"/>
      <c r="M60" s="1867"/>
      <c r="N60" s="440"/>
      <c r="O60" s="1867"/>
      <c r="P60" s="440"/>
      <c r="Q60" s="1867"/>
      <c r="R60" s="440"/>
      <c r="S60" s="861"/>
      <c r="T60" s="1784"/>
      <c r="U60" s="440"/>
      <c r="V60" s="440"/>
      <c r="W60" s="1871"/>
      <c r="X60" s="1784"/>
      <c r="Y60" s="440"/>
      <c r="Z60" s="440"/>
      <c r="AA60" s="1871"/>
      <c r="AB60" s="1784"/>
      <c r="AC60" s="440"/>
      <c r="AD60" s="1871"/>
      <c r="AE60" s="96"/>
      <c r="AF60" s="96"/>
      <c r="AG60" s="96"/>
      <c r="AH60" s="96"/>
      <c r="AJ60" s="1643"/>
      <c r="AK60" s="1643"/>
      <c r="AL60" s="1643"/>
      <c r="AM60" s="1643"/>
      <c r="AN60" s="1643"/>
      <c r="AO60" s="1643"/>
      <c r="AP60" s="1631" t="s">
        <v>380</v>
      </c>
      <c r="AQ60" s="1631" t="s">
        <v>380</v>
      </c>
      <c r="AR60" s="1643"/>
      <c r="AS60" s="1643"/>
    </row>
    <row r="62" s="1821" customFormat="1" customHeight="1" ht="11.25">
      <c r="A62" s="1821" t="s">
        <v>2005</v>
      </c>
    </row>
    <row r="64" s="1829" customFormat="1" customHeight="1" ht="15">
      <c r="A64" s="152" t="s">
        <v>89</v>
      </c>
      <c r="B64" s="132" t="s">
        <v>22</v>
      </c>
      <c r="C64" s="1832"/>
      <c r="D64" s="135"/>
      <c r="E64" s="388"/>
      <c r="F64" s="388"/>
      <c r="G64" s="1809"/>
      <c r="H64" s="1831"/>
      <c r="I64" s="1810"/>
      <c r="K64" s="279"/>
      <c r="L64" s="280"/>
    </row>
    <row r="66" s="1821" customFormat="1" customHeight="1" ht="11.25">
      <c r="A66" s="1821" t="s">
        <v>2006</v>
      </c>
    </row>
    <row r="68" s="1642" customFormat="1" customHeight="1" ht="14.25">
      <c r="A68" s="350"/>
      <c r="B68" s="1167"/>
      <c r="C68" s="383"/>
      <c r="D68" s="1816"/>
      <c r="E68" s="893"/>
      <c r="F68" s="1831"/>
      <c r="G68" s="96"/>
      <c r="I68" s="1631"/>
      <c r="J68" s="1631"/>
    </row>
    <row r="70" s="1821" customFormat="1" customHeight="1" ht="11.25">
      <c r="A70" s="1821" t="s">
        <v>2007</v>
      </c>
    </row>
    <row r="72" s="1642" customFormat="1" customHeight="1" ht="27">
      <c r="A72" s="1173"/>
      <c r="B72" s="1173"/>
      <c r="C72" s="1173"/>
      <c r="D72" s="1167"/>
      <c r="E72" s="1833"/>
      <c r="F72" s="2601"/>
      <c r="G72" s="2602"/>
      <c r="H72" s="2603" t="s">
        <v>61</v>
      </c>
      <c r="I72" s="2605"/>
      <c r="J72" s="2568"/>
      <c r="K72" s="2607"/>
      <c r="L72" s="2570"/>
      <c r="M72" s="2570"/>
      <c r="N72" s="2571"/>
      <c r="O72" s="2571"/>
      <c r="P72" s="2572">
        <f>DATEDIF(DATEVALUE(N72),DATEVALUE(O72),"y")&amp;"г. "&amp;DATEDIF(DATEVALUE(N72),DATEVALUE(O72),"ym")&amp;"мес. "&amp;DATEVALUE(O72)-DATE(YEAR(DATEVALUE(O72)),MONTH(DATEVALUE(O72)),1)&amp;"дн. "</f>
      </c>
      <c r="Q72" s="2567"/>
      <c r="R72" s="2567"/>
      <c r="S72" s="2567"/>
      <c r="T72" s="2568"/>
      <c r="U72" s="2567"/>
      <c r="V72" s="2567"/>
      <c r="W72" s="2567"/>
      <c r="X72" s="2568"/>
      <c r="Y72" s="2565" t="s">
        <v>61</v>
      </c>
      <c r="Z72" s="1814"/>
      <c r="AA72" s="1798">
        <v>1</v>
      </c>
      <c r="AB72" s="1249"/>
      <c r="AD72" s="1643" t="s">
        <v>2008</v>
      </c>
    </row>
    <row s="1642" customFormat="1" customHeight="1" ht="10.5">
      <c r="A73" s="1173"/>
      <c r="B73" s="1173"/>
      <c r="C73" s="1173"/>
      <c r="D73" s="1167"/>
      <c r="E73" s="954"/>
      <c r="F73" s="2601"/>
      <c r="G73" s="2602"/>
      <c r="H73" s="2604"/>
      <c r="I73" s="2606"/>
      <c r="J73" s="2569"/>
      <c r="K73" s="2607"/>
      <c r="L73" s="2570"/>
      <c r="M73" s="2570"/>
      <c r="N73" s="2571"/>
      <c r="O73" s="2571"/>
      <c r="P73" s="2572"/>
      <c r="Q73" s="2567"/>
      <c r="R73" s="2567"/>
      <c r="S73" s="2567"/>
      <c r="T73" s="2569"/>
      <c r="U73" s="2567"/>
      <c r="V73" s="2567"/>
      <c r="W73" s="2567"/>
      <c r="X73" s="2569"/>
      <c r="Y73" s="2566"/>
      <c r="Z73" s="354"/>
      <c r="AA73" s="579"/>
      <c r="AB73" s="659" t="s">
        <v>1045</v>
      </c>
    </row>
    <row r="75" s="1821" customFormat="1" customHeight="1" ht="11.25">
      <c r="A75" s="1821" t="s">
        <v>2009</v>
      </c>
    </row>
    <row r="77" s="1642" customFormat="1" customHeight="1" ht="27">
      <c r="A77" s="1173"/>
      <c r="B77" s="1173"/>
      <c r="C77" s="1173"/>
      <c r="D77" s="1167"/>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9"/>
      <c r="AD77" s="1643" t="s">
        <v>2008</v>
      </c>
    </row>
    <row r="79" s="1821" customFormat="1" customHeight="1" ht="11.25">
      <c r="A79" s="1821" t="s">
        <v>2010</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2"/>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2" customFormat="1" customHeight="1" ht="0.75">
      <c r="A82" s="1173"/>
      <c r="B82" s="1173"/>
      <c r="C82" s="1173"/>
      <c r="D82" s="1167"/>
      <c r="E82" s="1177"/>
      <c r="F82" s="2556"/>
      <c r="G82" s="2535"/>
      <c r="H82" s="2560" t="s">
        <v>375</v>
      </c>
      <c r="I82" s="2561"/>
      <c r="J82" s="2562"/>
      <c r="K82" s="2562"/>
      <c r="L82" s="2554"/>
      <c r="M82" s="2288"/>
      <c r="N82" s="2040"/>
      <c r="O82" s="2039"/>
      <c r="P82" s="2040"/>
      <c r="Q82" s="2040"/>
      <c r="R82" s="2040"/>
      <c r="S82" s="2040"/>
      <c r="T82" s="2040"/>
      <c r="U82" s="2040"/>
      <c r="V82" s="2040"/>
      <c r="W82" s="2040"/>
      <c r="X82" s="2040"/>
      <c r="Y82" s="2040"/>
      <c r="Z82" s="2040"/>
      <c r="AA82" s="2040"/>
      <c r="AB82" s="2040"/>
      <c r="AC82" s="2040"/>
      <c r="AD82" s="2040"/>
      <c r="AE82" s="2040"/>
      <c r="AF82" s="2558"/>
      <c r="AG82" s="2554"/>
      <c r="AH82" s="2554"/>
      <c r="AI82" s="2558"/>
      <c r="AJ82" s="2554"/>
      <c r="AK82" s="2554"/>
      <c r="AL82" s="1992"/>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2" customFormat="1" customHeight="1" ht="0.75">
      <c r="A83" s="1173"/>
      <c r="B83" s="1173"/>
      <c r="C83" s="1173"/>
      <c r="D83" s="1167"/>
      <c r="E83" s="1177"/>
      <c r="F83" s="2556"/>
      <c r="G83" s="2535"/>
      <c r="H83" s="2560"/>
      <c r="I83" s="2561"/>
      <c r="J83" s="2562"/>
      <c r="K83" s="2562"/>
      <c r="L83" s="2554"/>
      <c r="M83" s="2288"/>
      <c r="N83" s="2563"/>
      <c r="O83" s="2564"/>
      <c r="P83" s="2608"/>
      <c r="Q83" s="2559"/>
      <c r="R83" s="2559"/>
      <c r="S83" s="2559"/>
      <c r="T83" s="2559"/>
      <c r="U83" s="2559"/>
      <c r="V83" s="2559"/>
      <c r="W83" s="2559"/>
      <c r="X83" s="2559"/>
      <c r="Y83" s="2559"/>
      <c r="Z83" s="2041"/>
      <c r="AA83" s="2042"/>
      <c r="AB83" s="2042"/>
      <c r="AC83" s="2043"/>
      <c r="AD83" s="2043"/>
      <c r="AE83" s="2044"/>
      <c r="AF83" s="2558"/>
      <c r="AG83" s="2554"/>
      <c r="AH83" s="2554"/>
      <c r="AI83" s="2558"/>
      <c r="AJ83" s="2554"/>
      <c r="AK83" s="2554"/>
      <c r="AL83" s="1992"/>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2" customFormat="1" customHeight="1" ht="0.75">
      <c r="A84" s="1173"/>
      <c r="B84" s="1173"/>
      <c r="C84" s="1173"/>
      <c r="D84" s="1167"/>
      <c r="E84" s="1177"/>
      <c r="F84" s="2556"/>
      <c r="G84" s="2535"/>
      <c r="H84" s="2560"/>
      <c r="I84" s="2561"/>
      <c r="J84" s="2562"/>
      <c r="K84" s="2562"/>
      <c r="L84" s="2554"/>
      <c r="M84" s="2288"/>
      <c r="N84" s="2563"/>
      <c r="O84" s="2564"/>
      <c r="P84" s="2609"/>
      <c r="Q84" s="2559"/>
      <c r="R84" s="2559"/>
      <c r="S84" s="2559"/>
      <c r="T84" s="2559"/>
      <c r="U84" s="2559"/>
      <c r="V84" s="2559"/>
      <c r="W84" s="2559"/>
      <c r="X84" s="2559"/>
      <c r="Y84" s="2559"/>
      <c r="Z84" s="2045"/>
      <c r="AA84" s="2046"/>
      <c r="AB84" s="2047"/>
      <c r="AC84" s="2048"/>
      <c r="AD84" s="2047"/>
      <c r="AE84" s="2048"/>
      <c r="AF84" s="2558"/>
      <c r="AG84" s="2554"/>
      <c r="AH84" s="2554"/>
      <c r="AI84" s="2558"/>
      <c r="AJ84" s="2554"/>
      <c r="AK84" s="2554"/>
      <c r="AL84" s="1992"/>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2" customFormat="1" customHeight="1" ht="0.75">
      <c r="A85" s="1173"/>
      <c r="B85" s="1173"/>
      <c r="C85" s="1173"/>
      <c r="D85" s="1167"/>
      <c r="E85" s="1177"/>
      <c r="F85" s="2556"/>
      <c r="G85" s="2535"/>
      <c r="H85" s="2560"/>
      <c r="I85" s="2561"/>
      <c r="J85" s="2562"/>
      <c r="K85" s="2562"/>
      <c r="L85" s="2554"/>
      <c r="M85" s="2288"/>
      <c r="N85" s="2563"/>
      <c r="O85" s="2564"/>
      <c r="P85" s="2610"/>
      <c r="Q85" s="2559"/>
      <c r="R85" s="2559"/>
      <c r="S85" s="2559"/>
      <c r="T85" s="2559"/>
      <c r="U85" s="2559"/>
      <c r="V85" s="2559"/>
      <c r="W85" s="2559"/>
      <c r="X85" s="2559"/>
      <c r="Y85" s="2559"/>
      <c r="Z85" s="2041"/>
      <c r="AA85" s="2042"/>
      <c r="AB85" s="2049"/>
      <c r="AC85" s="2043"/>
      <c r="AD85" s="2043"/>
      <c r="AE85" s="2050"/>
      <c r="AF85" s="2558"/>
      <c r="AG85" s="2554"/>
      <c r="AH85" s="2554"/>
      <c r="AI85" s="2558"/>
      <c r="AJ85" s="2554"/>
      <c r="AK85" s="2554"/>
      <c r="AL85" s="1992"/>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2" customFormat="1" customHeight="1" ht="0.75">
      <c r="A86" s="1173"/>
      <c r="B86" s="1173"/>
      <c r="C86" s="1173"/>
      <c r="D86" s="1167"/>
      <c r="E86" s="1177"/>
      <c r="F86" s="2556"/>
      <c r="G86" s="2535"/>
      <c r="H86" s="2560"/>
      <c r="I86" s="2561"/>
      <c r="J86" s="2562"/>
      <c r="K86" s="2562"/>
      <c r="L86" s="2554"/>
      <c r="M86" s="2288"/>
      <c r="N86" s="2042"/>
      <c r="O86" s="2042"/>
      <c r="P86" s="2049"/>
      <c r="Q86" s="2042"/>
      <c r="R86" s="2042"/>
      <c r="S86" s="2042"/>
      <c r="T86" s="2042"/>
      <c r="U86" s="2042"/>
      <c r="V86" s="2042"/>
      <c r="W86" s="2042"/>
      <c r="X86" s="2042"/>
      <c r="Y86" s="2042"/>
      <c r="Z86" s="2042"/>
      <c r="AA86" s="2042"/>
      <c r="AB86" s="2042"/>
      <c r="AC86" s="2042"/>
      <c r="AD86" s="2042"/>
      <c r="AE86" s="2051"/>
      <c r="AF86" s="2558"/>
      <c r="AG86" s="2554"/>
      <c r="AH86" s="2554"/>
      <c r="AI86" s="2558"/>
      <c r="AJ86" s="2554"/>
      <c r="AK86" s="2554"/>
      <c r="AL86" s="1992"/>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2" customFormat="1" customHeight="1" ht="12">
      <c r="A87" s="1173"/>
      <c r="B87" s="1173"/>
      <c r="C87" s="1173"/>
      <c r="D87" s="1167"/>
      <c r="E87" s="1177"/>
      <c r="F87" s="2557"/>
      <c r="G87" s="1197"/>
      <c r="H87" s="1197"/>
      <c r="I87" s="2555" t="s">
        <v>1102</v>
      </c>
      <c r="J87" s="2555"/>
      <c r="K87" s="2555"/>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2"/>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2011</v>
      </c>
    </row>
    <row r="91" s="1642" customFormat="1" customHeight="1" ht="11.25">
      <c r="A91" s="1173"/>
      <c r="B91" s="1173"/>
      <c r="C91" s="1173"/>
      <c r="D91" s="1167"/>
      <c r="E91" s="1177"/>
      <c r="F91" s="1835"/>
      <c r="G91" s="1836"/>
      <c r="H91" s="1836"/>
      <c r="I91" s="1770"/>
      <c r="J91" s="1770"/>
      <c r="K91" s="1837"/>
      <c r="L91" s="1770"/>
      <c r="M91" s="1836"/>
      <c r="N91" s="2528"/>
      <c r="O91" s="2611">
        <v>1</v>
      </c>
      <c r="P91" s="2530" t="s">
        <v>19</v>
      </c>
      <c r="Q91" s="2533" t="s">
        <v>22</v>
      </c>
      <c r="R91" s="2533" t="s">
        <v>22</v>
      </c>
      <c r="S91" s="2533" t="s">
        <v>22</v>
      </c>
      <c r="T91" s="2533" t="s">
        <v>22</v>
      </c>
      <c r="U91" s="2533" t="s">
        <v>22</v>
      </c>
      <c r="V91" s="2533" t="s">
        <v>22</v>
      </c>
      <c r="W91" s="2533" t="s">
        <v>22</v>
      </c>
      <c r="X91" s="2533" t="s">
        <v>22</v>
      </c>
      <c r="Y91" s="2533"/>
      <c r="Z91" s="1182"/>
      <c r="AA91" s="1183"/>
      <c r="AB91" s="1183"/>
      <c r="AC91" s="1187"/>
      <c r="AD91" s="1187"/>
      <c r="AE91" s="1187"/>
      <c r="AF91" s="2094"/>
      <c r="AG91" s="1765"/>
      <c r="AH91" s="1765"/>
      <c r="AI91" s="2094"/>
      <c r="AJ91" s="1765"/>
      <c r="AK91" s="1991"/>
      <c r="AL91" s="1992"/>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2" customFormat="1" customHeight="1" ht="11.25">
      <c r="A92" s="1173"/>
      <c r="B92" s="1173"/>
      <c r="C92" s="1173"/>
      <c r="D92" s="1167"/>
      <c r="E92" s="1177"/>
      <c r="F92" s="1835"/>
      <c r="G92" s="1836"/>
      <c r="H92" s="1836"/>
      <c r="I92" s="1771"/>
      <c r="J92" s="1771"/>
      <c r="K92" s="1837"/>
      <c r="L92" s="1771"/>
      <c r="M92" s="1836"/>
      <c r="N92" s="2528"/>
      <c r="O92" s="2611"/>
      <c r="P92" s="2531"/>
      <c r="Q92" s="2533"/>
      <c r="R92" s="2533"/>
      <c r="S92" s="2534"/>
      <c r="T92" s="2533"/>
      <c r="U92" s="2533"/>
      <c r="V92" s="2533"/>
      <c r="W92" s="2533"/>
      <c r="X92" s="2533"/>
      <c r="Y92" s="2533"/>
      <c r="Z92" s="1834"/>
      <c r="AA92" s="1800">
        <v>1</v>
      </c>
      <c r="AB92" s="1186"/>
      <c r="AC92" s="1176"/>
      <c r="AD92" s="1186">
        <f>AB92</f>
        <v>0</v>
      </c>
      <c r="AE92" s="731"/>
      <c r="AF92" s="2095"/>
      <c r="AG92" s="1765"/>
      <c r="AH92" s="1765"/>
      <c r="AI92" s="2095"/>
      <c r="AJ92" s="1765"/>
      <c r="AK92" s="1991"/>
      <c r="AL92" s="1992"/>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2" customFormat="1" customHeight="1" ht="11.25">
      <c r="A93" s="1173"/>
      <c r="B93" s="1173"/>
      <c r="C93" s="1173"/>
      <c r="D93" s="1167"/>
      <c r="E93" s="1177"/>
      <c r="F93" s="1835"/>
      <c r="G93" s="1836"/>
      <c r="H93" s="1836"/>
      <c r="I93" s="1772"/>
      <c r="J93" s="1772"/>
      <c r="K93" s="1837"/>
      <c r="L93" s="1772"/>
      <c r="M93" s="1836"/>
      <c r="N93" s="2528"/>
      <c r="O93" s="2611"/>
      <c r="P93" s="2532"/>
      <c r="Q93" s="2533"/>
      <c r="R93" s="2533"/>
      <c r="S93" s="2534"/>
      <c r="T93" s="2533"/>
      <c r="U93" s="2533"/>
      <c r="V93" s="2533"/>
      <c r="W93" s="2533"/>
      <c r="X93" s="2533"/>
      <c r="Y93" s="2533"/>
      <c r="Z93" s="1182"/>
      <c r="AA93" s="1183"/>
      <c r="AB93" s="1248" t="s">
        <v>1088</v>
      </c>
      <c r="AC93" s="1187"/>
      <c r="AD93" s="1187"/>
      <c r="AE93" s="1187"/>
      <c r="AF93" s="2096"/>
      <c r="AG93" s="1765"/>
      <c r="AH93" s="1765"/>
      <c r="AI93" s="2096"/>
      <c r="AJ93" s="1765"/>
      <c r="AK93" s="1991"/>
      <c r="AL93" s="1992"/>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2012</v>
      </c>
    </row>
    <row r="97" s="1642" customFormat="1" customHeight="1" ht="11.25">
      <c r="A97" s="1173"/>
      <c r="B97" s="1173"/>
      <c r="C97" s="1173"/>
      <c r="D97" s="1167"/>
      <c r="E97" s="1177"/>
      <c r="F97" s="1836"/>
      <c r="G97" s="1836"/>
      <c r="H97" s="1836"/>
      <c r="I97" s="1836"/>
      <c r="J97" s="1836"/>
      <c r="K97" s="1836"/>
      <c r="L97" s="1836"/>
      <c r="M97" s="1836"/>
      <c r="N97" s="1836"/>
      <c r="O97" s="1836"/>
      <c r="P97" s="1836"/>
      <c r="Q97" s="1836"/>
      <c r="R97" s="1836"/>
      <c r="S97" s="1836"/>
      <c r="T97" s="1836"/>
      <c r="U97" s="1836"/>
      <c r="V97" s="1836"/>
      <c r="W97" s="1836"/>
      <c r="X97" s="1836"/>
      <c r="Y97" s="1836"/>
      <c r="Z97" s="1838"/>
      <c r="AA97" s="1820">
        <v>1</v>
      </c>
      <c r="AB97" s="1186"/>
      <c r="AC97" s="1176"/>
      <c r="AD97" s="1186">
        <f>AB97</f>
        <v>0</v>
      </c>
      <c r="AE97" s="1176"/>
      <c r="AF97" s="2093"/>
      <c r="AG97" s="1765"/>
      <c r="AH97" s="1765"/>
      <c r="AI97" s="2093"/>
      <c r="AJ97" s="1765"/>
      <c r="AK97" s="1991"/>
      <c r="AL97" s="1992"/>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2013</v>
      </c>
    </row>
    <row r="101" s="1642" customFormat="1" customHeight="1" ht="11.25">
      <c r="A101" s="1173"/>
      <c r="B101" s="1173"/>
      <c r="C101" s="1173"/>
      <c r="D101" s="1167"/>
      <c r="E101" s="1177"/>
      <c r="F101" s="1835"/>
      <c r="G101" s="1836"/>
      <c r="H101" s="2535" t="s">
        <v>109</v>
      </c>
      <c r="I101" s="2536"/>
      <c r="J101" s="2505"/>
      <c r="K101" s="2537"/>
      <c r="L101" s="2127" t="s">
        <v>19</v>
      </c>
      <c r="M101" s="2128"/>
      <c r="N101" s="1990"/>
      <c r="O101" s="1184" t="s">
        <v>375</v>
      </c>
      <c r="P101" s="1185"/>
      <c r="Q101" s="1185"/>
      <c r="R101" s="1185"/>
      <c r="S101" s="1185"/>
      <c r="T101" s="1185"/>
      <c r="U101" s="1185"/>
      <c r="V101" s="1185"/>
      <c r="W101" s="1185"/>
      <c r="X101" s="1185"/>
      <c r="Y101" s="1185"/>
      <c r="Z101" s="1185"/>
      <c r="AA101" s="1185"/>
      <c r="AB101" s="1185"/>
      <c r="AC101" s="1185"/>
      <c r="AD101" s="1185"/>
      <c r="AE101" s="1185"/>
      <c r="AF101" s="2526"/>
      <c r="AG101" s="2527"/>
      <c r="AH101" s="2527"/>
      <c r="AI101" s="2526"/>
      <c r="AJ101" s="2527"/>
      <c r="AK101" s="2527"/>
      <c r="AL101" s="1992"/>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2" customFormat="1" customHeight="1" ht="11.25">
      <c r="A102" s="1173"/>
      <c r="B102" s="1173"/>
      <c r="C102" s="1173"/>
      <c r="D102" s="1167"/>
      <c r="E102" s="1177"/>
      <c r="F102" s="1835"/>
      <c r="G102" s="1836"/>
      <c r="H102" s="2535"/>
      <c r="I102" s="2536"/>
      <c r="J102" s="2505"/>
      <c r="K102" s="2537"/>
      <c r="L102" s="2127"/>
      <c r="M102" s="2128"/>
      <c r="N102" s="2528"/>
      <c r="O102" s="2529">
        <v>1</v>
      </c>
      <c r="P102" s="2530" t="s">
        <v>19</v>
      </c>
      <c r="Q102" s="2533" t="s">
        <v>22</v>
      </c>
      <c r="R102" s="2533" t="s">
        <v>22</v>
      </c>
      <c r="S102" s="2533" t="s">
        <v>22</v>
      </c>
      <c r="T102" s="2533" t="s">
        <v>22</v>
      </c>
      <c r="U102" s="2533" t="s">
        <v>22</v>
      </c>
      <c r="V102" s="2533" t="s">
        <v>22</v>
      </c>
      <c r="W102" s="2533" t="s">
        <v>22</v>
      </c>
      <c r="X102" s="2533" t="s">
        <v>22</v>
      </c>
      <c r="Y102" s="2533"/>
      <c r="Z102" s="1182"/>
      <c r="AA102" s="1183"/>
      <c r="AB102" s="1183"/>
      <c r="AC102" s="1187"/>
      <c r="AD102" s="1187"/>
      <c r="AE102" s="1188"/>
      <c r="AF102" s="2526"/>
      <c r="AG102" s="2527"/>
      <c r="AH102" s="2527"/>
      <c r="AI102" s="2526"/>
      <c r="AJ102" s="2527"/>
      <c r="AK102" s="2527"/>
      <c r="AL102" s="1992"/>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2" customFormat="1" customHeight="1" ht="11.25">
      <c r="A103" s="1173"/>
      <c r="B103" s="1173"/>
      <c r="C103" s="1173"/>
      <c r="D103" s="1167"/>
      <c r="E103" s="1177"/>
      <c r="F103" s="1835"/>
      <c r="G103" s="1836"/>
      <c r="H103" s="2535"/>
      <c r="I103" s="2536"/>
      <c r="J103" s="2505"/>
      <c r="K103" s="2537"/>
      <c r="L103" s="2127"/>
      <c r="M103" s="2128"/>
      <c r="N103" s="2528"/>
      <c r="O103" s="2529"/>
      <c r="P103" s="2531"/>
      <c r="Q103" s="2533"/>
      <c r="R103" s="2533"/>
      <c r="S103" s="2534"/>
      <c r="T103" s="2533"/>
      <c r="U103" s="2533"/>
      <c r="V103" s="2533"/>
      <c r="W103" s="2533"/>
      <c r="X103" s="2533"/>
      <c r="Y103" s="2533"/>
      <c r="Z103" s="1834"/>
      <c r="AA103" s="1800">
        <v>1</v>
      </c>
      <c r="AB103" s="1186"/>
      <c r="AC103" s="1176"/>
      <c r="AD103" s="1186">
        <f>AB103</f>
        <v>0</v>
      </c>
      <c r="AE103" s="1176"/>
      <c r="AF103" s="2526"/>
      <c r="AG103" s="2527"/>
      <c r="AH103" s="2527"/>
      <c r="AI103" s="2526"/>
      <c r="AJ103" s="2527"/>
      <c r="AK103" s="2527"/>
      <c r="AL103" s="1992"/>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2" customFormat="1" customHeight="1" ht="11.25">
      <c r="A104" s="1173"/>
      <c r="B104" s="1173"/>
      <c r="C104" s="1173"/>
      <c r="D104" s="1167"/>
      <c r="E104" s="1177"/>
      <c r="F104" s="1835"/>
      <c r="G104" s="1836"/>
      <c r="H104" s="2535"/>
      <c r="I104" s="2536"/>
      <c r="J104" s="2505"/>
      <c r="K104" s="2537"/>
      <c r="L104" s="2127"/>
      <c r="M104" s="2128"/>
      <c r="N104" s="2528"/>
      <c r="O104" s="2529"/>
      <c r="P104" s="2532"/>
      <c r="Q104" s="2533"/>
      <c r="R104" s="2533"/>
      <c r="S104" s="2534"/>
      <c r="T104" s="2533"/>
      <c r="U104" s="2533"/>
      <c r="V104" s="2533"/>
      <c r="W104" s="2533"/>
      <c r="X104" s="2533"/>
      <c r="Y104" s="2533"/>
      <c r="Z104" s="1182"/>
      <c r="AA104" s="1183"/>
      <c r="AB104" s="1248" t="s">
        <v>1088</v>
      </c>
      <c r="AC104" s="1187"/>
      <c r="AD104" s="1187"/>
      <c r="AE104" s="1189"/>
      <c r="AF104" s="2526"/>
      <c r="AG104" s="2527"/>
      <c r="AH104" s="2527"/>
      <c r="AI104" s="2526"/>
      <c r="AJ104" s="2527"/>
      <c r="AK104" s="2527"/>
      <c r="AL104" s="1992"/>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2" customFormat="1" customHeight="1" ht="11.25">
      <c r="A105" s="1173"/>
      <c r="B105" s="1173"/>
      <c r="C105" s="1173"/>
      <c r="D105" s="1167"/>
      <c r="E105" s="1177"/>
      <c r="F105" s="1835"/>
      <c r="G105" s="1836"/>
      <c r="H105" s="2535"/>
      <c r="I105" s="2536"/>
      <c r="J105" s="2505"/>
      <c r="K105" s="2537"/>
      <c r="L105" s="2127"/>
      <c r="M105" s="2128"/>
      <c r="N105" s="1182"/>
      <c r="O105" s="1183"/>
      <c r="P105" s="1175" t="s">
        <v>1089</v>
      </c>
      <c r="Q105" s="1183"/>
      <c r="R105" s="1183"/>
      <c r="S105" s="1183"/>
      <c r="T105" s="1183"/>
      <c r="U105" s="1183"/>
      <c r="V105" s="1183"/>
      <c r="W105" s="1183"/>
      <c r="X105" s="1183"/>
      <c r="Y105" s="1183"/>
      <c r="Z105" s="1183"/>
      <c r="AA105" s="1183"/>
      <c r="AB105" s="1183"/>
      <c r="AC105" s="1183"/>
      <c r="AD105" s="1183"/>
      <c r="AE105" s="1190"/>
      <c r="AF105" s="2526"/>
      <c r="AG105" s="2527"/>
      <c r="AH105" s="2527"/>
      <c r="AI105" s="2526"/>
      <c r="AJ105" s="2527"/>
      <c r="AK105" s="2527"/>
      <c r="AL105" s="1992"/>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2014</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39"/>
      <c r="F110" s="1215">
        <v>1</v>
      </c>
      <c r="G110" s="1216"/>
      <c r="H110" s="1217"/>
      <c r="I110" s="1986"/>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6" t="s">
        <v>1209</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1" customFormat="1" customHeight="1" ht="11.25">
      <c r="A113" s="1821" t="s">
        <v>2015</v>
      </c>
    </row>
    <row r="115" s="1854" customFormat="1" customHeight="1" ht="15">
      <c r="A115" s="630"/>
      <c r="B115" s="631"/>
      <c r="C115" s="631"/>
      <c r="D115" s="2598" t="s">
        <v>109</v>
      </c>
      <c r="E115" s="2397" t="s">
        <v>105</v>
      </c>
      <c r="F115" s="2398"/>
      <c r="G115" s="2399"/>
      <c r="H115" s="2403" t="str">
        <f>IF(A115="","",INDEX(DIFFERENTIATION_UNMERGE_VD,MATCH(A115,DIFFERENTIATION_ID_DIFF,0)))</f>
        <v/>
      </c>
      <c r="I115" s="2403"/>
      <c r="J115" s="2403"/>
      <c r="K115" s="2403"/>
      <c r="L115" s="2403"/>
      <c r="M115" s="2403"/>
      <c r="N115" s="2403"/>
      <c r="O115" s="2403"/>
      <c r="P115" s="2403"/>
      <c r="Q115" s="2403"/>
      <c r="R115" s="2403"/>
      <c r="S115" s="726"/>
      <c r="T115" s="723"/>
      <c r="U115" s="632"/>
      <c r="V115" s="632"/>
      <c r="W115" s="633"/>
      <c r="X115" s="633"/>
      <c r="Y115" s="633"/>
      <c r="Z115" s="633"/>
      <c r="AA115" s="634"/>
      <c r="AB115" s="635"/>
      <c r="AC115" s="2395"/>
      <c r="AD115" s="636"/>
      <c r="AE115" s="637" t="s">
        <v>22</v>
      </c>
      <c r="AF115" s="637"/>
      <c r="AG115" s="638" t="s">
        <v>638</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4" customFormat="1" customHeight="1" ht="15">
      <c r="A116" s="630"/>
      <c r="B116" s="631"/>
      <c r="C116" s="631"/>
      <c r="D116" s="2599"/>
      <c r="E116" s="2397" t="s">
        <v>563</v>
      </c>
      <c r="F116" s="2398"/>
      <c r="G116" s="2399"/>
      <c r="H116" s="2403" t="str">
        <f>IF(A115="","",INDEX(DIFFERENTIATION_UNMERGE_AREA,MATCH(A115,DIFFERENTIATION_ID_DIFF,0)))</f>
        <v/>
      </c>
      <c r="I116" s="2403"/>
      <c r="J116" s="2403"/>
      <c r="K116" s="2403"/>
      <c r="L116" s="2403"/>
      <c r="M116" s="2403"/>
      <c r="N116" s="2403"/>
      <c r="O116" s="2403"/>
      <c r="P116" s="2403"/>
      <c r="Q116" s="2403"/>
      <c r="R116" s="2403"/>
      <c r="S116" s="726"/>
      <c r="T116" s="723"/>
      <c r="U116" s="632"/>
      <c r="V116" s="632"/>
      <c r="W116" s="633"/>
      <c r="X116" s="633"/>
      <c r="Y116" s="633"/>
      <c r="Z116" s="633"/>
      <c r="AA116" s="634"/>
      <c r="AB116" s="635"/>
      <c r="AC116" s="2395"/>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4" customFormat="1" customHeight="1" ht="15">
      <c r="A117" s="630"/>
      <c r="B117" s="631"/>
      <c r="C117" s="631"/>
      <c r="D117" s="2599"/>
      <c r="E117" s="2397" t="s">
        <v>564</v>
      </c>
      <c r="F117" s="2398"/>
      <c r="G117" s="2399"/>
      <c r="H117" s="2403" t="str">
        <f>IF(A115="","",INDEX(DIFFERENTIATION_UNMERGE_SYSTEM,MATCH(A115,DIFFERENTIATION_ID_DIFF,0)))</f>
        <v/>
      </c>
      <c r="I117" s="2403"/>
      <c r="J117" s="2403"/>
      <c r="K117" s="2403"/>
      <c r="L117" s="2403"/>
      <c r="M117" s="2403"/>
      <c r="N117" s="2403"/>
      <c r="O117" s="2403"/>
      <c r="P117" s="2403"/>
      <c r="Q117" s="2403"/>
      <c r="R117" s="2403"/>
      <c r="S117" s="726"/>
      <c r="T117" s="723"/>
      <c r="U117" s="632"/>
      <c r="V117" s="632"/>
      <c r="W117" s="633"/>
      <c r="X117" s="633"/>
      <c r="Y117" s="633"/>
      <c r="Z117" s="633"/>
      <c r="AA117" s="634"/>
      <c r="AB117" s="635"/>
      <c r="AC117" s="2395"/>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4" customFormat="1" customHeight="1" ht="24.75">
      <c r="A118" s="1812"/>
      <c r="B118" s="1167"/>
      <c r="C118" s="419"/>
      <c r="D118" s="2599"/>
      <c r="E118" s="2396" t="s">
        <v>639</v>
      </c>
      <c r="F118" s="2396"/>
      <c r="G118" s="2396"/>
      <c r="H118" s="2396"/>
      <c r="I118" s="2396"/>
      <c r="J118" s="2396"/>
      <c r="K118" s="2396"/>
      <c r="L118" s="2396"/>
      <c r="M118" s="2396"/>
      <c r="N118" s="2396"/>
      <c r="O118" s="2396"/>
      <c r="P118" s="2396"/>
      <c r="Q118" s="565">
        <f>SUMIF(T119:T120,"i",Q119:Q120)</f>
        <v>0</v>
      </c>
      <c r="R118" s="1024"/>
      <c r="S118" s="1804" t="s">
        <v>640</v>
      </c>
      <c r="T118" s="724" t="s">
        <v>641</v>
      </c>
      <c r="U118" s="2394">
        <v>1</v>
      </c>
      <c r="V118" s="2394">
        <f>INDEX(B_FHD_FLAG_INDEX_1,1,MATCH(A115,B_FHD_FLAG_DIFFERENTIATION,0))</f>
      </c>
      <c r="W118" s="1167"/>
      <c r="X118" s="1167"/>
      <c r="Y118" s="1167"/>
      <c r="Z118" s="1167"/>
      <c r="AA118" s="1643"/>
      <c r="AB118" s="1167"/>
      <c r="AC118" s="2395"/>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4" customFormat="1" customHeight="1" ht="11.25" hidden="1">
      <c r="A119" s="1799"/>
      <c r="B119" s="1643"/>
      <c r="C119" s="1643"/>
      <c r="D119" s="2599"/>
      <c r="E119" s="642"/>
      <c r="F119" s="642">
        <v>0</v>
      </c>
      <c r="G119" s="642"/>
      <c r="H119" s="642"/>
      <c r="I119" s="642"/>
      <c r="J119" s="642"/>
      <c r="K119" s="642"/>
      <c r="L119" s="642"/>
      <c r="M119" s="642"/>
      <c r="N119" s="642"/>
      <c r="O119" s="642"/>
      <c r="P119" s="642"/>
      <c r="Q119" s="642"/>
      <c r="R119" s="642"/>
      <c r="S119" s="643"/>
      <c r="T119" s="725"/>
      <c r="U119" s="2394"/>
      <c r="V119" s="2394"/>
      <c r="W119" s="1643"/>
      <c r="X119" s="1643"/>
      <c r="Y119" s="1643"/>
      <c r="Z119" s="1643"/>
      <c r="AA119" s="1643"/>
      <c r="AB119" s="1167"/>
      <c r="AC119" s="2395"/>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4" customFormat="1" customHeight="1" ht="11.25">
      <c r="A120" s="1812"/>
      <c r="B120" s="1167"/>
      <c r="C120" s="419"/>
      <c r="D120" s="2599"/>
      <c r="E120" s="656" t="s">
        <v>22</v>
      </c>
      <c r="F120" s="1175" t="s">
        <v>22</v>
      </c>
      <c r="G120" s="1175" t="s">
        <v>2016</v>
      </c>
      <c r="H120" s="658" t="s">
        <v>22</v>
      </c>
      <c r="I120" s="658"/>
      <c r="J120" s="658"/>
      <c r="K120" s="658"/>
      <c r="L120" s="658"/>
      <c r="M120" s="658"/>
      <c r="N120" s="658"/>
      <c r="O120" s="658"/>
      <c r="P120" s="658"/>
      <c r="Q120" s="658"/>
      <c r="R120" s="659"/>
      <c r="S120" s="660"/>
      <c r="T120" s="725"/>
      <c r="U120" s="2394"/>
      <c r="V120" s="2394"/>
      <c r="W120" s="1167"/>
      <c r="X120" s="1167"/>
      <c r="Y120" s="1167"/>
      <c r="Z120" s="1167"/>
      <c r="AA120" s="1643"/>
      <c r="AB120" s="1167"/>
      <c r="AC120" s="2395"/>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4" customFormat="1" customHeight="1" ht="24.75">
      <c r="A121" s="1812"/>
      <c r="B121" s="1167"/>
      <c r="C121" s="419"/>
      <c r="D121" s="2599"/>
      <c r="E121" s="2396" t="s">
        <v>642</v>
      </c>
      <c r="F121" s="2396"/>
      <c r="G121" s="2396"/>
      <c r="H121" s="2396"/>
      <c r="I121" s="2396"/>
      <c r="J121" s="2396"/>
      <c r="K121" s="2396"/>
      <c r="L121" s="2396"/>
      <c r="M121" s="2396"/>
      <c r="N121" s="2396"/>
      <c r="O121" s="2396"/>
      <c r="P121" s="2396"/>
      <c r="Q121" s="565">
        <f>SUMIF(T122:T123,"i",Q122:Q123)</f>
        <v>0</v>
      </c>
      <c r="R121" s="1024"/>
      <c r="S121" s="1804" t="s">
        <v>643</v>
      </c>
      <c r="T121" s="724" t="s">
        <v>641</v>
      </c>
      <c r="U121" s="2394">
        <v>1</v>
      </c>
      <c r="V121" s="2394">
        <f>INDEX(B_FHD_FLAG_INDEX_2,1,MATCH(A115,B_FHD_FLAG_DIFFERENTIATION,0))</f>
      </c>
      <c r="W121" s="1167"/>
      <c r="X121" s="1167"/>
      <c r="Y121" s="1167"/>
      <c r="Z121" s="1167"/>
      <c r="AA121" s="1643"/>
      <c r="AB121" s="1167"/>
      <c r="AC121" s="1802"/>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4" customFormat="1" customHeight="1" ht="11.25" hidden="1">
      <c r="A122" s="1799"/>
      <c r="B122" s="1643"/>
      <c r="C122" s="1643"/>
      <c r="D122" s="2599"/>
      <c r="E122" s="642"/>
      <c r="F122" s="642">
        <v>0</v>
      </c>
      <c r="G122" s="642"/>
      <c r="H122" s="642"/>
      <c r="I122" s="642"/>
      <c r="J122" s="642"/>
      <c r="K122" s="642"/>
      <c r="L122" s="642"/>
      <c r="M122" s="642"/>
      <c r="N122" s="642"/>
      <c r="O122" s="642"/>
      <c r="P122" s="642"/>
      <c r="Q122" s="642"/>
      <c r="R122" s="642"/>
      <c r="S122" s="643"/>
      <c r="T122" s="725"/>
      <c r="U122" s="2394"/>
      <c r="V122" s="2394"/>
      <c r="W122" s="1643"/>
      <c r="X122" s="1643"/>
      <c r="Y122" s="1643"/>
      <c r="Z122" s="1643"/>
      <c r="AA122" s="1643"/>
      <c r="AB122" s="1167"/>
      <c r="AC122" s="1802"/>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4" customFormat="1" customHeight="1" ht="11.25">
      <c r="A123" s="1812"/>
      <c r="B123" s="1167"/>
      <c r="C123" s="419"/>
      <c r="D123" s="2600"/>
      <c r="E123" s="656" t="s">
        <v>22</v>
      </c>
      <c r="F123" s="1175" t="s">
        <v>22</v>
      </c>
      <c r="G123" s="1175" t="s">
        <v>2016</v>
      </c>
      <c r="H123" s="658" t="s">
        <v>22</v>
      </c>
      <c r="I123" s="658"/>
      <c r="J123" s="658"/>
      <c r="K123" s="658"/>
      <c r="L123" s="658"/>
      <c r="M123" s="658"/>
      <c r="N123" s="658"/>
      <c r="O123" s="658"/>
      <c r="P123" s="658"/>
      <c r="Q123" s="658"/>
      <c r="R123" s="659"/>
      <c r="S123" s="660"/>
      <c r="T123" s="725"/>
      <c r="U123" s="2394"/>
      <c r="V123" s="2394"/>
      <c r="W123" s="1167"/>
      <c r="X123" s="1167"/>
      <c r="Y123" s="1167"/>
      <c r="Z123" s="1167"/>
      <c r="AA123" s="1643"/>
      <c r="AB123" s="1167"/>
      <c r="AC123" s="1802"/>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1" customFormat="1" customHeight="1" ht="11.25">
      <c r="A125" s="1821" t="s">
        <v>2017</v>
      </c>
    </row>
    <row r="127" s="1854" customFormat="1" customHeight="1" ht="15">
      <c r="A127" s="630"/>
      <c r="B127" s="631"/>
      <c r="C127" s="631"/>
      <c r="D127" s="2598" t="s">
        <v>109</v>
      </c>
      <c r="E127" s="2397" t="s">
        <v>105</v>
      </c>
      <c r="F127" s="2398"/>
      <c r="G127" s="2399"/>
      <c r="H127" s="2403" t="str">
        <f>IF(A127="","",INDEX(DIFFERENTIATION_UNMERGE_VD,MATCH(A127,DIFFERENTIATION_ID_DIFF,0)))</f>
        <v/>
      </c>
      <c r="I127" s="2403"/>
      <c r="J127" s="2403"/>
      <c r="K127" s="2403"/>
      <c r="L127" s="2403"/>
      <c r="M127" s="2403"/>
      <c r="N127" s="2403"/>
      <c r="O127" s="2403"/>
      <c r="P127" s="2403"/>
      <c r="Q127" s="2403"/>
      <c r="R127" s="2403"/>
      <c r="S127" s="726"/>
      <c r="T127" s="723"/>
      <c r="U127" s="632"/>
      <c r="V127" s="632"/>
      <c r="W127" s="633"/>
      <c r="X127" s="633"/>
      <c r="Y127" s="633"/>
      <c r="Z127" s="633"/>
      <c r="AA127" s="634"/>
      <c r="AB127" s="635"/>
      <c r="AC127" s="2395"/>
      <c r="AD127" s="636"/>
      <c r="AE127" s="637" t="s">
        <v>22</v>
      </c>
      <c r="AF127" s="637"/>
      <c r="AG127" s="638" t="s">
        <v>638</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4" customFormat="1" customHeight="1" ht="15">
      <c r="A128" s="630"/>
      <c r="B128" s="631"/>
      <c r="C128" s="631"/>
      <c r="D128" s="2599"/>
      <c r="E128" s="2397" t="s">
        <v>563</v>
      </c>
      <c r="F128" s="2398"/>
      <c r="G128" s="2399"/>
      <c r="H128" s="2403" t="str">
        <f>IF(A127="","",INDEX(DIFFERENTIATION_UNMERGE_AREA,MATCH(A127,DIFFERENTIATION_ID_DIFF,0)))</f>
        <v/>
      </c>
      <c r="I128" s="2403"/>
      <c r="J128" s="2403"/>
      <c r="K128" s="2403"/>
      <c r="L128" s="2403"/>
      <c r="M128" s="2403"/>
      <c r="N128" s="2403"/>
      <c r="O128" s="2403"/>
      <c r="P128" s="2403"/>
      <c r="Q128" s="2403"/>
      <c r="R128" s="2403"/>
      <c r="S128" s="726"/>
      <c r="T128" s="723"/>
      <c r="U128" s="632"/>
      <c r="V128" s="632"/>
      <c r="W128" s="633"/>
      <c r="X128" s="633"/>
      <c r="Y128" s="633"/>
      <c r="Z128" s="633"/>
      <c r="AA128" s="634"/>
      <c r="AB128" s="635"/>
      <c r="AC128" s="2395"/>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4" customFormat="1" customHeight="1" ht="15">
      <c r="A129" s="630"/>
      <c r="B129" s="631"/>
      <c r="C129" s="631"/>
      <c r="D129" s="2599"/>
      <c r="E129" s="2397" t="s">
        <v>564</v>
      </c>
      <c r="F129" s="2398"/>
      <c r="G129" s="2399"/>
      <c r="H129" s="2403" t="str">
        <f>IF(A127="","",INDEX(DIFFERENTIATION_UNMERGE_SYSTEM,MATCH(A127,DIFFERENTIATION_ID_DIFF,0)))</f>
        <v/>
      </c>
      <c r="I129" s="2403"/>
      <c r="J129" s="2403"/>
      <c r="K129" s="2403"/>
      <c r="L129" s="2403"/>
      <c r="M129" s="2403"/>
      <c r="N129" s="2403"/>
      <c r="O129" s="2403"/>
      <c r="P129" s="2403"/>
      <c r="Q129" s="2403"/>
      <c r="R129" s="2403"/>
      <c r="S129" s="726"/>
      <c r="T129" s="723"/>
      <c r="U129" s="632"/>
      <c r="V129" s="632"/>
      <c r="W129" s="633"/>
      <c r="X129" s="633"/>
      <c r="Y129" s="633"/>
      <c r="Z129" s="633"/>
      <c r="AA129" s="634"/>
      <c r="AB129" s="635"/>
      <c r="AC129" s="2395"/>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4" customFormat="1" customHeight="1" ht="24.75">
      <c r="A130" s="1812"/>
      <c r="B130" s="1167"/>
      <c r="C130" s="419"/>
      <c r="D130" s="2599"/>
      <c r="E130" s="2396" t="s">
        <v>639</v>
      </c>
      <c r="F130" s="2396"/>
      <c r="G130" s="2396"/>
      <c r="H130" s="2396"/>
      <c r="I130" s="2396"/>
      <c r="J130" s="2396"/>
      <c r="K130" s="2396"/>
      <c r="L130" s="2396"/>
      <c r="M130" s="2396"/>
      <c r="N130" s="2396"/>
      <c r="O130" s="2396"/>
      <c r="P130" s="2396"/>
      <c r="Q130" s="565">
        <f>SUMIF(T131:T132,"i",Q131:Q132)</f>
        <v>0</v>
      </c>
      <c r="R130" s="1024"/>
      <c r="S130" s="1804" t="s">
        <v>640</v>
      </c>
      <c r="T130" s="724" t="s">
        <v>641</v>
      </c>
      <c r="U130" s="2394">
        <v>1</v>
      </c>
      <c r="V130" s="2394">
        <f>INDEX(B_FHD_FLAG_INDEX_1,1,MATCH(A127,B_FHD_FLAG_DIFFERENTIATION,0))</f>
      </c>
      <c r="W130" s="1167"/>
      <c r="X130" s="1167"/>
      <c r="Y130" s="1167"/>
      <c r="Z130" s="1167"/>
      <c r="AA130" s="1643"/>
      <c r="AB130" s="1167"/>
      <c r="AC130" s="2395"/>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4" customFormat="1" customHeight="1" ht="11.25" hidden="1">
      <c r="A131" s="1799"/>
      <c r="B131" s="1643"/>
      <c r="C131" s="1643"/>
      <c r="D131" s="2599"/>
      <c r="E131" s="642"/>
      <c r="F131" s="642">
        <v>0</v>
      </c>
      <c r="G131" s="642"/>
      <c r="H131" s="642"/>
      <c r="I131" s="642"/>
      <c r="J131" s="642"/>
      <c r="K131" s="642"/>
      <c r="L131" s="642"/>
      <c r="M131" s="642"/>
      <c r="N131" s="642"/>
      <c r="O131" s="642"/>
      <c r="P131" s="642"/>
      <c r="Q131" s="642"/>
      <c r="R131" s="642"/>
      <c r="S131" s="643"/>
      <c r="T131" s="725"/>
      <c r="U131" s="2394"/>
      <c r="V131" s="2394"/>
      <c r="W131" s="1643"/>
      <c r="X131" s="1643"/>
      <c r="Y131" s="1643"/>
      <c r="Z131" s="1643"/>
      <c r="AA131" s="1643"/>
      <c r="AB131" s="1167"/>
      <c r="AC131" s="2395"/>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4" customFormat="1" customHeight="1" ht="11.25">
      <c r="A132" s="1812"/>
      <c r="B132" s="1167"/>
      <c r="C132" s="419"/>
      <c r="D132" s="2599"/>
      <c r="E132" s="656" t="s">
        <v>22</v>
      </c>
      <c r="F132" s="1175" t="s">
        <v>22</v>
      </c>
      <c r="G132" s="1175" t="s">
        <v>2016</v>
      </c>
      <c r="H132" s="658" t="s">
        <v>22</v>
      </c>
      <c r="I132" s="658"/>
      <c r="J132" s="658"/>
      <c r="K132" s="658"/>
      <c r="L132" s="658"/>
      <c r="M132" s="658"/>
      <c r="N132" s="658"/>
      <c r="O132" s="658"/>
      <c r="P132" s="658"/>
      <c r="Q132" s="658"/>
      <c r="R132" s="659"/>
      <c r="S132" s="660"/>
      <c r="T132" s="725"/>
      <c r="U132" s="2394"/>
      <c r="V132" s="2394"/>
      <c r="W132" s="1167"/>
      <c r="X132" s="1167"/>
      <c r="Y132" s="1167"/>
      <c r="Z132" s="1167"/>
      <c r="AA132" s="1643"/>
      <c r="AB132" s="1167"/>
      <c r="AC132" s="2395"/>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799"/>
      <c r="B133" s="1643"/>
      <c r="C133" s="1643"/>
      <c r="D133" s="2599"/>
      <c r="E133" s="1046"/>
      <c r="F133" s="1046"/>
      <c r="G133" s="1046"/>
      <c r="H133" s="1046"/>
      <c r="I133" s="1046"/>
      <c r="J133" s="1046"/>
      <c r="K133" s="1046"/>
      <c r="L133" s="1046"/>
      <c r="M133" s="1046"/>
      <c r="N133" s="1046"/>
      <c r="O133" s="1046"/>
      <c r="P133" s="1046"/>
      <c r="Q133" s="1047"/>
      <c r="R133" s="1048"/>
      <c r="S133" s="1049"/>
      <c r="T133" s="724" t="s">
        <v>641</v>
      </c>
      <c r="U133" s="2394">
        <v>1</v>
      </c>
      <c r="V133" s="2394" t="s">
        <v>574</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799"/>
      <c r="B134" s="1643"/>
      <c r="C134" s="1643"/>
      <c r="D134" s="2599"/>
      <c r="E134" s="642"/>
      <c r="F134" s="642"/>
      <c r="G134" s="642"/>
      <c r="H134" s="642"/>
      <c r="I134" s="642"/>
      <c r="J134" s="642"/>
      <c r="K134" s="642"/>
      <c r="L134" s="642"/>
      <c r="M134" s="642"/>
      <c r="N134" s="642"/>
      <c r="O134" s="642"/>
      <c r="P134" s="642"/>
      <c r="Q134" s="642"/>
      <c r="R134" s="642"/>
      <c r="S134" s="643"/>
      <c r="T134" s="725"/>
      <c r="U134" s="2394"/>
      <c r="V134" s="2394"/>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799"/>
      <c r="B135" s="1643"/>
      <c r="C135" s="1643"/>
      <c r="D135" s="2600"/>
      <c r="E135" s="1050"/>
      <c r="F135" s="1051"/>
      <c r="G135" s="1051"/>
      <c r="H135" s="1052"/>
      <c r="I135" s="1052"/>
      <c r="J135" s="1052"/>
      <c r="K135" s="1052"/>
      <c r="L135" s="1052"/>
      <c r="M135" s="1052"/>
      <c r="N135" s="1052"/>
      <c r="O135" s="1052"/>
      <c r="P135" s="1052"/>
      <c r="Q135" s="1052"/>
      <c r="R135" s="953"/>
      <c r="S135" s="1053"/>
      <c r="T135" s="725"/>
      <c r="U135" s="2394"/>
      <c r="V135" s="2394"/>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0"/>
    </row>
    <row s="1821" customFormat="1" customHeight="1" ht="11.25">
      <c r="A137" s="1821" t="s">
        <v>2018</v>
      </c>
    </row>
    <row r="139" s="1854" customFormat="1" customHeight="1" ht="45">
      <c r="A139" s="1812"/>
      <c r="B139" s="1167"/>
      <c r="C139" s="419"/>
      <c r="D139" s="96"/>
      <c r="E139" s="2592"/>
      <c r="F139" s="2128" t="s">
        <v>109</v>
      </c>
      <c r="G139" s="2595" t="s">
        <v>22</v>
      </c>
      <c r="H139" s="296"/>
      <c r="I139" s="644" t="s">
        <v>109</v>
      </c>
      <c r="J139" s="1813" t="s">
        <v>2019</v>
      </c>
      <c r="K139" s="645" t="s">
        <v>545</v>
      </c>
      <c r="L139" s="2244" t="s">
        <v>545</v>
      </c>
      <c r="M139" s="2597"/>
      <c r="N139" s="645" t="s">
        <v>545</v>
      </c>
      <c r="O139" s="645" t="s">
        <v>545</v>
      </c>
      <c r="P139" s="645" t="s">
        <v>545</v>
      </c>
      <c r="Q139" s="646">
        <f>SUM(Q140:Q142)</f>
        <v>0</v>
      </c>
      <c r="R139" s="646">
        <f>IF(R136=0,0,(Q136/R136)*100)</f>
        <v>0</v>
      </c>
      <c r="S139" s="2199"/>
      <c r="T139" s="724" t="s">
        <v>641</v>
      </c>
      <c r="U139" s="96"/>
      <c r="V139" s="96"/>
      <c r="AC139" s="96"/>
    </row>
    <row s="1854" customFormat="1" customHeight="1" ht="11.25">
      <c r="A140" s="1812"/>
      <c r="B140" s="1167"/>
      <c r="C140" s="419"/>
      <c r="D140" s="96"/>
      <c r="E140" s="2593"/>
      <c r="F140" s="2128"/>
      <c r="G140" s="2595"/>
      <c r="H140" s="2147"/>
      <c r="I140" s="2535" t="s">
        <v>1114</v>
      </c>
      <c r="J140" s="2589"/>
      <c r="K140" s="2590"/>
      <c r="L140" s="647"/>
      <c r="M140" s="648" t="s">
        <v>109</v>
      </c>
      <c r="N140" s="1801"/>
      <c r="O140" s="649"/>
      <c r="P140" s="650"/>
      <c r="Q140" s="649"/>
      <c r="R140" s="651">
        <v>0</v>
      </c>
      <c r="S140" s="2199"/>
      <c r="T140" s="724"/>
      <c r="U140" s="96"/>
      <c r="V140" s="96"/>
      <c r="AC140" s="96"/>
    </row>
    <row s="1854" customFormat="1" customHeight="1" ht="11.25">
      <c r="A141" s="1812"/>
      <c r="B141" s="1167"/>
      <c r="C141" s="419"/>
      <c r="D141" s="96"/>
      <c r="E141" s="2593"/>
      <c r="F141" s="2128"/>
      <c r="G141" s="2595"/>
      <c r="H141" s="2147"/>
      <c r="I141" s="2535"/>
      <c r="J141" s="2589"/>
      <c r="K141" s="2591"/>
      <c r="L141" s="652"/>
      <c r="M141" s="653"/>
      <c r="N141" s="654" t="s">
        <v>2020</v>
      </c>
      <c r="O141" s="654"/>
      <c r="P141" s="654"/>
      <c r="Q141" s="654"/>
      <c r="R141" s="655"/>
      <c r="S141" s="2199"/>
      <c r="T141" s="724"/>
      <c r="U141" s="96"/>
      <c r="V141" s="96"/>
      <c r="AC141" s="96"/>
    </row>
    <row s="1854" customFormat="1" customHeight="1" ht="11.25">
      <c r="A142" s="1812"/>
      <c r="B142" s="1167"/>
      <c r="C142" s="419"/>
      <c r="D142" s="96"/>
      <c r="E142" s="2594"/>
      <c r="F142" s="2128"/>
      <c r="G142" s="2596"/>
      <c r="H142" s="652" t="s">
        <v>22</v>
      </c>
      <c r="I142" s="653"/>
      <c r="J142" s="654" t="s">
        <v>2021</v>
      </c>
      <c r="K142" s="654"/>
      <c r="L142" s="654"/>
      <c r="M142" s="654"/>
      <c r="N142" s="654"/>
      <c r="O142" s="654"/>
      <c r="P142" s="654"/>
      <c r="Q142" s="654"/>
      <c r="R142" s="655"/>
      <c r="S142" s="2199"/>
      <c r="T142" s="724"/>
      <c r="U142" s="96"/>
      <c r="V142" s="96"/>
      <c r="AC142" s="96"/>
    </row>
    <row r="147" s="1854" customFormat="1" customHeight="1" ht="11.25">
      <c r="A147" s="1812"/>
      <c r="B147" s="1167"/>
      <c r="C147" s="419"/>
      <c r="D147" s="96"/>
      <c r="E147" s="1836"/>
      <c r="F147" s="1836"/>
      <c r="G147" s="1836"/>
      <c r="H147" s="2147"/>
      <c r="I147" s="2535" t="s">
        <v>1114</v>
      </c>
      <c r="J147" s="2589"/>
      <c r="K147" s="2590"/>
      <c r="L147" s="647"/>
      <c r="M147" s="648" t="s">
        <v>109</v>
      </c>
      <c r="N147" s="1801"/>
      <c r="O147" s="649"/>
      <c r="P147" s="650"/>
      <c r="Q147" s="649"/>
      <c r="R147" s="651">
        <v>0</v>
      </c>
      <c r="S147" s="96"/>
      <c r="T147" s="724"/>
      <c r="U147" s="96"/>
      <c r="V147" s="96"/>
      <c r="AC147" s="96"/>
    </row>
    <row s="1854" customFormat="1" customHeight="1" ht="11.25">
      <c r="A148" s="1812"/>
      <c r="B148" s="1167"/>
      <c r="C148" s="419"/>
      <c r="D148" s="96"/>
      <c r="E148" s="1836"/>
      <c r="F148" s="1836"/>
      <c r="G148" s="1836"/>
      <c r="H148" s="2147"/>
      <c r="I148" s="2535"/>
      <c r="J148" s="2589"/>
      <c r="K148" s="2591"/>
      <c r="L148" s="652"/>
      <c r="M148" s="653"/>
      <c r="N148" s="654" t="s">
        <v>2020</v>
      </c>
      <c r="O148" s="654"/>
      <c r="P148" s="654"/>
      <c r="Q148" s="654"/>
      <c r="R148" s="655"/>
      <c r="S148" s="96"/>
      <c r="T148" s="724"/>
      <c r="U148" s="96"/>
      <c r="V148" s="96"/>
      <c r="AC148" s="96"/>
    </row>
    <row r="150" s="1854" customFormat="1" customHeight="1" ht="11.25">
      <c r="A150" s="1812"/>
      <c r="B150" s="1167"/>
      <c r="C150" s="419"/>
      <c r="D150" s="96"/>
      <c r="E150" s="1841"/>
      <c r="F150" s="1839"/>
      <c r="G150" s="1839"/>
      <c r="H150" s="1842"/>
      <c r="I150" s="1836"/>
      <c r="J150" s="1837"/>
      <c r="K150" s="1837"/>
      <c r="L150" s="647"/>
      <c r="M150" s="648" t="s">
        <v>109</v>
      </c>
      <c r="N150" s="1801"/>
      <c r="O150" s="649"/>
      <c r="P150" s="650"/>
      <c r="Q150" s="649"/>
      <c r="R150" s="651">
        <v>0</v>
      </c>
      <c r="S150" s="96"/>
      <c r="T150" s="724"/>
      <c r="U150" s="96"/>
      <c r="V150" s="96"/>
      <c r="AC150" s="96"/>
    </row>
    <row r="152" s="1821" customFormat="1" customHeight="1" ht="17.25">
      <c r="A152" s="1821" t="s">
        <v>2022</v>
      </c>
    </row>
    <row customHeight="1" ht="17.25">
      <c r="G153" s="1843"/>
      <c r="H153" s="1843"/>
      <c r="I153" s="1843"/>
      <c r="M153" s="1839"/>
    </row>
    <row s="1857" customFormat="1" customHeight="1" ht="17.25">
      <c r="A154" s="1844"/>
      <c r="C154" s="1846"/>
      <c r="D154" s="2549"/>
      <c r="E154" s="2163"/>
      <c r="F154" s="2165"/>
      <c r="G154" s="2551"/>
      <c r="H154" s="2549"/>
      <c r="I154" s="2549">
        <v>1</v>
      </c>
      <c r="J154" s="2521"/>
      <c r="K154" s="2205" t="s">
        <v>61</v>
      </c>
      <c r="L154" s="2128"/>
      <c r="M154" s="2128" t="s">
        <v>109</v>
      </c>
      <c r="N154" s="2524" t="str">
        <f>IF(Z154="","",INDEX(TERRITORY_MR_LIST,MATCH(Z154,TERRITORY_LIST_ID,0)))</f>
        <v/>
      </c>
      <c r="O154" s="2205" t="s">
        <v>61</v>
      </c>
      <c r="P154" s="2128"/>
      <c r="Q154" s="2128" t="s">
        <v>109</v>
      </c>
      <c r="R154" s="2522" t="s">
        <v>22</v>
      </c>
      <c r="S154" s="2127" t="s">
        <v>61</v>
      </c>
      <c r="T154" s="1817"/>
      <c r="U154" s="1817" t="s">
        <v>109</v>
      </c>
      <c r="V154" s="1847" t="s">
        <v>22</v>
      </c>
      <c r="W154" s="1807"/>
      <c r="Y154" s="1274"/>
      <c r="Z154" s="1274"/>
      <c r="AA154" s="1274"/>
      <c r="AB154" s="1274"/>
      <c r="AC154" s="1274"/>
      <c r="AD154" s="1274"/>
      <c r="AE154" s="1274"/>
      <c r="AF154" s="1274"/>
      <c r="AG154" s="1274"/>
      <c r="AH154" s="1274"/>
      <c r="AI154" s="1274"/>
      <c r="AJ154" s="1274"/>
      <c r="AK154" s="1274"/>
      <c r="AL154" s="1848"/>
      <c r="AM154" s="1848"/>
      <c r="AN154" s="1274"/>
      <c r="AO154" s="1274"/>
      <c r="AP154" s="1274"/>
      <c r="AQ154" s="1274"/>
    </row>
    <row s="1857" customFormat="1" customHeight="1" ht="17.25">
      <c r="A155" s="1844"/>
      <c r="C155" s="1849"/>
      <c r="D155" s="2549"/>
      <c r="E155" s="2163"/>
      <c r="F155" s="2166"/>
      <c r="G155" s="2551"/>
      <c r="H155" s="2549"/>
      <c r="I155" s="2549"/>
      <c r="J155" s="2521"/>
      <c r="K155" s="2206"/>
      <c r="L155" s="2128"/>
      <c r="M155" s="2128"/>
      <c r="N155" s="2524"/>
      <c r="O155" s="2206"/>
      <c r="P155" s="2128"/>
      <c r="Q155" s="2128"/>
      <c r="R155" s="2522"/>
      <c r="S155" s="2127"/>
      <c r="T155" s="324"/>
      <c r="U155" s="325"/>
      <c r="V155" s="325" t="s">
        <v>413</v>
      </c>
      <c r="W155" s="326"/>
      <c r="Y155" s="1266"/>
      <c r="Z155" s="1266"/>
      <c r="AA155" s="1266"/>
      <c r="AB155" s="1266"/>
      <c r="AC155" s="1266"/>
      <c r="AD155" s="1266"/>
      <c r="AE155" s="1266"/>
      <c r="AF155" s="1266"/>
      <c r="AG155" s="1266"/>
      <c r="AH155" s="1266"/>
      <c r="AI155" s="1266"/>
      <c r="AJ155" s="1266"/>
      <c r="AK155" s="1266"/>
    </row>
    <row s="1857" customFormat="1" customHeight="1" ht="17.25">
      <c r="A156" s="1844"/>
      <c r="C156" s="1849"/>
      <c r="D156" s="2523"/>
      <c r="E156" s="2550"/>
      <c r="F156" s="2166"/>
      <c r="G156" s="2552"/>
      <c r="H156" s="2523"/>
      <c r="I156" s="2523"/>
      <c r="J156" s="2553"/>
      <c r="K156" s="2206"/>
      <c r="L156" s="2523"/>
      <c r="M156" s="2523"/>
      <c r="N156" s="2525"/>
      <c r="O156" s="2132"/>
      <c r="P156" s="324"/>
      <c r="Q156" s="325"/>
      <c r="R156" s="325" t="s">
        <v>414</v>
      </c>
      <c r="S156" s="1850"/>
      <c r="T156" s="1850"/>
      <c r="U156" s="1850"/>
      <c r="V156" s="1850"/>
      <c r="W156" s="326"/>
      <c r="Y156" s="1266"/>
      <c r="Z156" s="1266"/>
      <c r="AA156" s="1266"/>
      <c r="AB156" s="1266"/>
      <c r="AC156" s="1266"/>
      <c r="AD156" s="1266"/>
      <c r="AE156" s="1266"/>
      <c r="AF156" s="1266"/>
      <c r="AG156" s="1266"/>
      <c r="AH156" s="1266"/>
      <c r="AI156" s="1266"/>
      <c r="AJ156" s="1266"/>
      <c r="AK156" s="1266"/>
    </row>
    <row s="1857" customFormat="1" customHeight="1" ht="17.25">
      <c r="A157" s="1844"/>
      <c r="C157" s="1849"/>
      <c r="D157" s="2523"/>
      <c r="E157" s="2550"/>
      <c r="F157" s="2166"/>
      <c r="G157" s="2552"/>
      <c r="H157" s="2523"/>
      <c r="I157" s="2523"/>
      <c r="J157" s="2553"/>
      <c r="K157" s="2132"/>
      <c r="L157" s="324"/>
      <c r="M157" s="325"/>
      <c r="N157" s="325" t="s">
        <v>415</v>
      </c>
      <c r="O157" s="325"/>
      <c r="P157" s="325"/>
      <c r="Q157" s="325"/>
      <c r="R157" s="325"/>
      <c r="S157" s="1850"/>
      <c r="T157" s="1850"/>
      <c r="U157" s="1850"/>
      <c r="V157" s="1850"/>
      <c r="W157" s="326"/>
      <c r="Y157" s="1266"/>
      <c r="Z157" s="1266"/>
      <c r="AA157" s="1266"/>
      <c r="AB157" s="1266"/>
      <c r="AC157" s="1266"/>
      <c r="AD157" s="1266"/>
      <c r="AE157" s="1266"/>
      <c r="AF157" s="1266"/>
      <c r="AG157" s="1266"/>
      <c r="AH157" s="1266"/>
      <c r="AI157" s="1266"/>
      <c r="AJ157" s="1266"/>
      <c r="AK157" s="1266"/>
    </row>
    <row s="1857" customFormat="1" customHeight="1" ht="17.25">
      <c r="A158" s="1844"/>
      <c r="C158" s="1849"/>
      <c r="D158" s="2523"/>
      <c r="E158" s="2550"/>
      <c r="F158" s="2167"/>
      <c r="G158" s="2552"/>
      <c r="H158" s="324"/>
      <c r="I158" s="325"/>
      <c r="J158" s="325" t="s">
        <v>447</v>
      </c>
      <c r="K158" s="325"/>
      <c r="L158" s="325"/>
      <c r="M158" s="325"/>
      <c r="N158" s="325"/>
      <c r="O158" s="325"/>
      <c r="P158" s="325"/>
      <c r="Q158" s="325"/>
      <c r="R158" s="325"/>
      <c r="S158" s="1850"/>
      <c r="T158" s="1850"/>
      <c r="U158" s="1850"/>
      <c r="V158" s="1850"/>
      <c r="W158" s="326"/>
      <c r="Y158" s="1266"/>
      <c r="Z158" s="1266"/>
      <c r="AA158" s="1266"/>
      <c r="AB158" s="1266"/>
      <c r="AC158" s="1266"/>
      <c r="AD158" s="1266"/>
      <c r="AE158" s="1266"/>
      <c r="AF158" s="1266"/>
      <c r="AG158" s="1266"/>
      <c r="AH158" s="1266"/>
      <c r="AI158" s="1266"/>
      <c r="AJ158" s="1266"/>
      <c r="AK158" s="1266"/>
    </row>
    <row customHeight="1" ht="17.25">
      <c r="G159" s="1843"/>
      <c r="H159" s="1843"/>
      <c r="I159" s="1843"/>
      <c r="M159" s="1839"/>
    </row>
    <row s="1857" customFormat="1" customHeight="1" ht="17.25">
      <c r="A160" s="1844"/>
      <c r="C160" s="1846"/>
      <c r="D160" s="1836"/>
      <c r="E160" s="1851"/>
      <c r="F160" s="1790"/>
      <c r="G160" s="1852"/>
      <c r="H160" s="2549"/>
      <c r="I160" s="2549">
        <v>1</v>
      </c>
      <c r="J160" s="2521"/>
      <c r="K160" s="2205" t="s">
        <v>61</v>
      </c>
      <c r="L160" s="2128"/>
      <c r="M160" s="2128" t="s">
        <v>109</v>
      </c>
      <c r="N160" s="2524" t="str">
        <f>IF(Z160="","",INDEX(TERRITORY_MR_LIST,MATCH(Z160,TERRITORY_LIST_ID,0)))</f>
        <v/>
      </c>
      <c r="O160" s="2205" t="s">
        <v>61</v>
      </c>
      <c r="P160" s="2128"/>
      <c r="Q160" s="2128" t="s">
        <v>109</v>
      </c>
      <c r="R160" s="2522" t="s">
        <v>22</v>
      </c>
      <c r="S160" s="2127" t="s">
        <v>61</v>
      </c>
      <c r="T160" s="1817"/>
      <c r="U160" s="1817" t="s">
        <v>109</v>
      </c>
      <c r="V160" s="1847" t="s">
        <v>22</v>
      </c>
      <c r="W160" s="1807"/>
      <c r="Y160" s="1274"/>
      <c r="Z160" s="1274"/>
      <c r="AA160" s="1274"/>
      <c r="AB160" s="1274"/>
      <c r="AC160" s="1274"/>
      <c r="AD160" s="1274"/>
      <c r="AE160" s="1274"/>
      <c r="AF160" s="1274"/>
      <c r="AG160" s="1274"/>
      <c r="AH160" s="1274"/>
      <c r="AI160" s="1274"/>
      <c r="AJ160" s="1274"/>
      <c r="AK160" s="1274"/>
      <c r="AL160" s="1848"/>
      <c r="AM160" s="1848"/>
      <c r="AN160" s="1274"/>
      <c r="AO160" s="1274"/>
      <c r="AP160" s="1274"/>
      <c r="AQ160" s="1274"/>
    </row>
    <row s="1857" customFormat="1" customHeight="1" ht="17.25">
      <c r="A161" s="1844"/>
      <c r="C161" s="1849"/>
      <c r="D161" s="1836"/>
      <c r="E161" s="1851"/>
      <c r="F161" s="1790"/>
      <c r="G161" s="1852"/>
      <c r="H161" s="2549"/>
      <c r="I161" s="2549"/>
      <c r="J161" s="2521"/>
      <c r="K161" s="2206"/>
      <c r="L161" s="2128"/>
      <c r="M161" s="2128"/>
      <c r="N161" s="2524"/>
      <c r="O161" s="2206"/>
      <c r="P161" s="2128"/>
      <c r="Q161" s="2128"/>
      <c r="R161" s="2522"/>
      <c r="S161" s="2127"/>
      <c r="T161" s="324"/>
      <c r="U161" s="325"/>
      <c r="V161" s="325" t="s">
        <v>413</v>
      </c>
      <c r="W161" s="326"/>
      <c r="Y161" s="1266"/>
      <c r="Z161" s="1266"/>
      <c r="AA161" s="1266"/>
      <c r="AB161" s="1266"/>
      <c r="AC161" s="1266"/>
      <c r="AD161" s="1266"/>
      <c r="AE161" s="1266"/>
      <c r="AF161" s="1266"/>
      <c r="AG161" s="1266"/>
      <c r="AH161" s="1266"/>
      <c r="AI161" s="1266"/>
      <c r="AJ161" s="1266"/>
      <c r="AK161" s="1266"/>
    </row>
    <row s="1857" customFormat="1" customHeight="1" ht="17.25">
      <c r="A162" s="1844"/>
      <c r="C162" s="1849"/>
      <c r="D162" s="1836"/>
      <c r="E162" s="1851"/>
      <c r="F162" s="1790"/>
      <c r="G162" s="1852"/>
      <c r="H162" s="2523"/>
      <c r="I162" s="2523"/>
      <c r="J162" s="2553"/>
      <c r="K162" s="2206"/>
      <c r="L162" s="2523"/>
      <c r="M162" s="2523"/>
      <c r="N162" s="2525"/>
      <c r="O162" s="2132"/>
      <c r="P162" s="324"/>
      <c r="Q162" s="325"/>
      <c r="R162" s="325" t="s">
        <v>414</v>
      </c>
      <c r="S162" s="1850"/>
      <c r="T162" s="1850"/>
      <c r="U162" s="1850"/>
      <c r="V162" s="1850"/>
      <c r="W162" s="326"/>
      <c r="Y162" s="1266"/>
      <c r="Z162" s="1266"/>
      <c r="AA162" s="1266"/>
      <c r="AB162" s="1266"/>
      <c r="AC162" s="1266"/>
      <c r="AD162" s="1266"/>
      <c r="AE162" s="1266"/>
      <c r="AF162" s="1266"/>
      <c r="AG162" s="1266"/>
      <c r="AH162" s="1266"/>
      <c r="AI162" s="1266"/>
      <c r="AJ162" s="1266"/>
      <c r="AK162" s="1266"/>
    </row>
    <row s="1857" customFormat="1" customHeight="1" ht="17.25">
      <c r="A163" s="1844"/>
      <c r="C163" s="1849"/>
      <c r="D163" s="1836"/>
      <c r="E163" s="1851"/>
      <c r="F163" s="1790"/>
      <c r="G163" s="1852"/>
      <c r="H163" s="2523"/>
      <c r="I163" s="2523"/>
      <c r="J163" s="2553"/>
      <c r="K163" s="2132"/>
      <c r="L163" s="324"/>
      <c r="M163" s="325"/>
      <c r="N163" s="325" t="s">
        <v>415</v>
      </c>
      <c r="O163" s="325"/>
      <c r="P163" s="325"/>
      <c r="Q163" s="325"/>
      <c r="R163" s="325"/>
      <c r="S163" s="1850"/>
      <c r="T163" s="1850"/>
      <c r="U163" s="1850"/>
      <c r="V163" s="1850"/>
      <c r="W163" s="326"/>
      <c r="Y163" s="1266"/>
      <c r="Z163" s="1266"/>
      <c r="AA163" s="1266"/>
      <c r="AB163" s="1266"/>
      <c r="AC163" s="1266"/>
      <c r="AD163" s="1266"/>
      <c r="AE163" s="1266"/>
      <c r="AF163" s="1266"/>
      <c r="AG163" s="1266"/>
      <c r="AH163" s="1266"/>
      <c r="AI163" s="1266"/>
      <c r="AJ163" s="1266"/>
      <c r="AK163" s="1266"/>
    </row>
    <row customHeight="1" ht="17.25">
      <c r="G164" s="1843"/>
      <c r="H164" s="1843"/>
      <c r="I164" s="1843"/>
      <c r="M164" s="1839"/>
    </row>
    <row s="1857" customFormat="1" customHeight="1" ht="17.25">
      <c r="A165" s="1844"/>
      <c r="C165" s="1846"/>
      <c r="D165" s="1836"/>
      <c r="E165" s="1851"/>
      <c r="F165" s="1790"/>
      <c r="G165" s="1852"/>
      <c r="H165" s="1836"/>
      <c r="I165" s="1836"/>
      <c r="J165" s="1853"/>
      <c r="K165" s="1766"/>
      <c r="L165" s="2128"/>
      <c r="M165" s="2128" t="s">
        <v>109</v>
      </c>
      <c r="N165" s="2524" t="str">
        <f>IF(Z165="","",INDEX(TERRITORY_MR_LIST,MATCH(Z165,TERRITORY_LIST_ID,0)))</f>
        <v/>
      </c>
      <c r="O165" s="2205" t="s">
        <v>61</v>
      </c>
      <c r="P165" s="2128"/>
      <c r="Q165" s="2128" t="s">
        <v>109</v>
      </c>
      <c r="R165" s="2522" t="s">
        <v>22</v>
      </c>
      <c r="S165" s="2127" t="s">
        <v>61</v>
      </c>
      <c r="T165" s="1817"/>
      <c r="U165" s="1817" t="s">
        <v>109</v>
      </c>
      <c r="V165" s="1847" t="s">
        <v>22</v>
      </c>
      <c r="W165" s="1807"/>
      <c r="Y165" s="1274"/>
      <c r="Z165" s="1274"/>
      <c r="AA165" s="1274"/>
      <c r="AB165" s="1274"/>
      <c r="AC165" s="1274"/>
      <c r="AD165" s="1274"/>
      <c r="AE165" s="1274"/>
      <c r="AF165" s="1274"/>
      <c r="AG165" s="1274"/>
      <c r="AH165" s="1274"/>
      <c r="AI165" s="1274"/>
      <c r="AJ165" s="1274"/>
      <c r="AK165" s="1274"/>
      <c r="AL165" s="1848"/>
      <c r="AM165" s="1848"/>
      <c r="AN165" s="1274"/>
      <c r="AO165" s="1274"/>
      <c r="AP165" s="1274"/>
      <c r="AQ165" s="1274"/>
    </row>
    <row s="1857" customFormat="1" customHeight="1" ht="17.25">
      <c r="A166" s="1844"/>
      <c r="C166" s="1849"/>
      <c r="D166" s="1836"/>
      <c r="E166" s="1851"/>
      <c r="F166" s="1790"/>
      <c r="G166" s="1852"/>
      <c r="H166" s="1836"/>
      <c r="I166" s="1836"/>
      <c r="J166" s="1853"/>
      <c r="K166" s="1766"/>
      <c r="L166" s="2128"/>
      <c r="M166" s="2128"/>
      <c r="N166" s="2524"/>
      <c r="O166" s="2206"/>
      <c r="P166" s="2128"/>
      <c r="Q166" s="2128"/>
      <c r="R166" s="2522"/>
      <c r="S166" s="2127"/>
      <c r="T166" s="324"/>
      <c r="U166" s="325"/>
      <c r="V166" s="325" t="s">
        <v>413</v>
      </c>
      <c r="W166" s="326"/>
      <c r="Y166" s="1266"/>
      <c r="Z166" s="1266"/>
      <c r="AA166" s="1266"/>
      <c r="AB166" s="1266"/>
      <c r="AC166" s="1266"/>
      <c r="AD166" s="1266"/>
      <c r="AE166" s="1266"/>
      <c r="AF166" s="1266"/>
      <c r="AG166" s="1266"/>
      <c r="AH166" s="1266"/>
      <c r="AI166" s="1266"/>
      <c r="AJ166" s="1266"/>
      <c r="AK166" s="1266"/>
    </row>
    <row s="1857" customFormat="1" customHeight="1" ht="17.25">
      <c r="A167" s="1844"/>
      <c r="C167" s="1849"/>
      <c r="D167" s="1836"/>
      <c r="E167" s="1851"/>
      <c r="F167" s="1790"/>
      <c r="G167" s="1852"/>
      <c r="H167" s="1836"/>
      <c r="I167" s="1836"/>
      <c r="J167" s="1853"/>
      <c r="K167" s="1766"/>
      <c r="L167" s="2523"/>
      <c r="M167" s="2523"/>
      <c r="N167" s="2525"/>
      <c r="O167" s="2132"/>
      <c r="P167" s="324"/>
      <c r="Q167" s="325"/>
      <c r="R167" s="325" t="s">
        <v>414</v>
      </c>
      <c r="S167" s="1850"/>
      <c r="T167" s="1850"/>
      <c r="U167" s="1850"/>
      <c r="V167" s="1850"/>
      <c r="W167" s="326"/>
      <c r="Y167" s="1266"/>
      <c r="Z167" s="1266"/>
      <c r="AA167" s="1266"/>
      <c r="AB167" s="1266"/>
      <c r="AC167" s="1266"/>
      <c r="AD167" s="1266"/>
      <c r="AE167" s="1266"/>
      <c r="AF167" s="1266"/>
      <c r="AG167" s="1266"/>
      <c r="AH167" s="1266"/>
      <c r="AI167" s="1266"/>
      <c r="AJ167" s="1266"/>
      <c r="AK167" s="1266"/>
    </row>
    <row customHeight="1" ht="17.25">
      <c r="G168" s="1843"/>
      <c r="H168" s="1843"/>
      <c r="I168" s="1843"/>
      <c r="M168" s="1839"/>
    </row>
    <row s="1857" customFormat="1" customHeight="1" ht="17.25">
      <c r="A169" s="1844"/>
      <c r="C169" s="1846"/>
      <c r="D169" s="1836"/>
      <c r="E169" s="1851"/>
      <c r="F169" s="1790"/>
      <c r="G169" s="1852"/>
      <c r="H169" s="1836"/>
      <c r="I169" s="1836"/>
      <c r="J169" s="1853"/>
      <c r="K169" s="1766"/>
      <c r="L169" s="1762"/>
      <c r="M169" s="1762"/>
      <c r="N169" s="2052"/>
      <c r="O169" s="1793"/>
      <c r="P169" s="2128"/>
      <c r="Q169" s="2128" t="s">
        <v>109</v>
      </c>
      <c r="R169" s="2522" t="s">
        <v>22</v>
      </c>
      <c r="S169" s="2127" t="s">
        <v>61</v>
      </c>
      <c r="T169" s="1817"/>
      <c r="U169" s="1817" t="s">
        <v>109</v>
      </c>
      <c r="V169" s="1847" t="s">
        <v>22</v>
      </c>
      <c r="W169" s="1807"/>
      <c r="Y169" s="1274"/>
      <c r="Z169" s="1274"/>
      <c r="AA169" s="1274"/>
      <c r="AB169" s="1274"/>
      <c r="AC169" s="1274"/>
      <c r="AD169" s="1274"/>
      <c r="AE169" s="1274"/>
      <c r="AF169" s="1274"/>
      <c r="AG169" s="1274"/>
      <c r="AH169" s="1274"/>
      <c r="AI169" s="1274"/>
      <c r="AJ169" s="1274"/>
      <c r="AK169" s="1274"/>
      <c r="AL169" s="1848"/>
      <c r="AM169" s="1848"/>
      <c r="AN169" s="1274"/>
      <c r="AO169" s="1274"/>
      <c r="AP169" s="1274"/>
      <c r="AQ169" s="1274"/>
    </row>
    <row s="1857" customFormat="1" customHeight="1" ht="17.25">
      <c r="A170" s="1844"/>
      <c r="C170" s="1849"/>
      <c r="D170" s="1836"/>
      <c r="E170" s="1851"/>
      <c r="F170" s="1790"/>
      <c r="G170" s="1852"/>
      <c r="H170" s="1836"/>
      <c r="I170" s="1836"/>
      <c r="J170" s="1853"/>
      <c r="K170" s="1766"/>
      <c r="L170" s="1762"/>
      <c r="M170" s="1762"/>
      <c r="N170" s="2052"/>
      <c r="O170" s="1793"/>
      <c r="P170" s="2128"/>
      <c r="Q170" s="2128"/>
      <c r="R170" s="2522"/>
      <c r="S170" s="2127"/>
      <c r="T170" s="324"/>
      <c r="U170" s="325"/>
      <c r="V170" s="325" t="s">
        <v>413</v>
      </c>
      <c r="W170" s="326"/>
      <c r="Y170" s="1266"/>
      <c r="Z170" s="1266"/>
      <c r="AA170" s="1266"/>
      <c r="AB170" s="1266"/>
      <c r="AC170" s="1266"/>
      <c r="AD170" s="1266"/>
      <c r="AE170" s="1266"/>
      <c r="AF170" s="1266"/>
      <c r="AG170" s="1266"/>
      <c r="AH170" s="1266"/>
      <c r="AI170" s="1266"/>
      <c r="AJ170" s="1266"/>
      <c r="AK170" s="1266"/>
    </row>
    <row customHeight="1" ht="17.25">
      <c r="G171" s="1843"/>
      <c r="H171" s="1843"/>
      <c r="I171" s="1843"/>
      <c r="M171" s="1839"/>
    </row>
    <row s="1857" customFormat="1" customHeight="1" ht="17.25">
      <c r="A172" s="1844"/>
      <c r="C172" s="1846"/>
      <c r="D172" s="1836"/>
      <c r="E172" s="1851"/>
      <c r="F172" s="1790"/>
      <c r="G172" s="1852"/>
      <c r="H172" s="1762"/>
      <c r="I172" s="1762"/>
      <c r="J172" s="1763"/>
      <c r="K172" s="1852"/>
      <c r="L172" s="1762"/>
      <c r="M172" s="1762"/>
      <c r="N172" s="1852"/>
      <c r="O172" s="1852"/>
      <c r="P172" s="1762"/>
      <c r="Q172" s="1762"/>
      <c r="R172" s="1764"/>
      <c r="S172" s="1852"/>
      <c r="T172" s="1817"/>
      <c r="U172" s="1817" t="s">
        <v>109</v>
      </c>
      <c r="V172" s="1847" t="s">
        <v>22</v>
      </c>
      <c r="W172" s="1807"/>
      <c r="Y172" s="1274"/>
      <c r="Z172" s="1274"/>
      <c r="AA172" s="1274"/>
      <c r="AB172" s="1274"/>
      <c r="AC172" s="1274"/>
      <c r="AD172" s="1274"/>
      <c r="AE172" s="1274"/>
      <c r="AF172" s="1274"/>
      <c r="AG172" s="1274"/>
      <c r="AH172" s="1274"/>
      <c r="AI172" s="1274"/>
      <c r="AJ172" s="1274"/>
      <c r="AK172" s="1274"/>
      <c r="AL172" s="1848"/>
      <c r="AM172" s="1848"/>
      <c r="AN172" s="1274"/>
      <c r="AO172" s="1274"/>
      <c r="AP172" s="1274"/>
      <c r="AQ172" s="1274"/>
    </row>
    <row r="174" s="1821" customFormat="1" customHeight="1" ht="17.25">
      <c r="A174" s="1821" t="s">
        <v>2023</v>
      </c>
    </row>
    <row customHeight="1" ht="17.25">
      <c r="G175" s="1843"/>
      <c r="H175" s="1843"/>
      <c r="I175" s="1843"/>
      <c r="M175" s="1839"/>
    </row>
    <row s="1857" customFormat="1" customHeight="1" ht="17.25">
      <c r="A176" s="1844"/>
      <c r="C176" s="1846"/>
      <c r="D176" s="2549"/>
      <c r="E176" s="2163"/>
      <c r="F176" s="2165"/>
      <c r="G176" s="2551"/>
      <c r="H176" s="2549"/>
      <c r="I176" s="2549">
        <v>1</v>
      </c>
      <c r="J176" s="2521"/>
      <c r="K176" s="2205" t="s">
        <v>61</v>
      </c>
      <c r="L176" s="2128"/>
      <c r="M176" s="2128" t="s">
        <v>109</v>
      </c>
      <c r="N176" s="2524" t="str">
        <f>IF(Z176="","",INDEX(TERRITORY_MR_LIST,MATCH(Z176,TERRITORY_LIST_ID,0)))</f>
        <v/>
      </c>
      <c r="O176" s="2205" t="s">
        <v>61</v>
      </c>
      <c r="P176" s="2128"/>
      <c r="Q176" s="2128" t="s">
        <v>109</v>
      </c>
      <c r="R176" s="2522" t="s">
        <v>22</v>
      </c>
      <c r="S176" s="2426" t="s">
        <v>19</v>
      </c>
      <c r="T176" s="1808"/>
      <c r="U176" s="1808" t="s">
        <v>109</v>
      </c>
      <c r="V176" s="1441"/>
      <c r="W176" s="2521"/>
      <c r="Y176" s="1274"/>
      <c r="Z176" s="1274"/>
      <c r="AA176" s="1274"/>
      <c r="AB176" s="1274"/>
      <c r="AC176" s="1274"/>
      <c r="AD176" s="1274"/>
      <c r="AE176" s="1274"/>
      <c r="AF176" s="1274"/>
      <c r="AG176" s="1274"/>
      <c r="AH176" s="1274"/>
      <c r="AI176" s="1274"/>
      <c r="AJ176" s="1274"/>
      <c r="AK176" s="1274"/>
      <c r="AL176" s="1848"/>
      <c r="AM176" s="1848"/>
      <c r="AN176" s="1274"/>
      <c r="AO176" s="1274"/>
      <c r="AP176" s="1274"/>
      <c r="AQ176" s="1274"/>
    </row>
    <row s="1857" customFormat="1" customHeight="1" ht="17.25">
      <c r="A177" s="1844"/>
      <c r="C177" s="1849"/>
      <c r="D177" s="2549"/>
      <c r="E177" s="2163"/>
      <c r="F177" s="2166"/>
      <c r="G177" s="2551"/>
      <c r="H177" s="2549"/>
      <c r="I177" s="2549"/>
      <c r="J177" s="2521"/>
      <c r="K177" s="2206"/>
      <c r="L177" s="2128"/>
      <c r="M177" s="2128"/>
      <c r="N177" s="2524"/>
      <c r="O177" s="2206"/>
      <c r="P177" s="2128"/>
      <c r="Q177" s="2128"/>
      <c r="R177" s="2522"/>
      <c r="S177" s="2426"/>
      <c r="T177" s="1442"/>
      <c r="U177" s="1443"/>
      <c r="V177" s="1443"/>
      <c r="W177" s="2521"/>
      <c r="Y177" s="1266"/>
      <c r="Z177" s="1266"/>
      <c r="AA177" s="1266"/>
      <c r="AB177" s="1266"/>
      <c r="AC177" s="1266"/>
      <c r="AD177" s="1266"/>
      <c r="AE177" s="1266"/>
      <c r="AF177" s="1266"/>
      <c r="AG177" s="1266"/>
      <c r="AH177" s="1266"/>
      <c r="AI177" s="1266"/>
      <c r="AJ177" s="1266"/>
      <c r="AK177" s="1266"/>
    </row>
    <row s="1857" customFormat="1" customHeight="1" ht="17.25">
      <c r="A178" s="1844"/>
      <c r="C178" s="1849"/>
      <c r="D178" s="2523"/>
      <c r="E178" s="2550"/>
      <c r="F178" s="2166"/>
      <c r="G178" s="2552"/>
      <c r="H178" s="2523"/>
      <c r="I178" s="2523"/>
      <c r="J178" s="2553"/>
      <c r="K178" s="2206"/>
      <c r="L178" s="2523"/>
      <c r="M178" s="2523"/>
      <c r="N178" s="2525"/>
      <c r="O178" s="2132"/>
      <c r="P178" s="324"/>
      <c r="Q178" s="325"/>
      <c r="R178" s="325" t="s">
        <v>414</v>
      </c>
      <c r="S178" s="1850"/>
      <c r="T178" s="1850"/>
      <c r="U178" s="1850"/>
      <c r="V178" s="1850"/>
      <c r="W178" s="1440"/>
      <c r="Y178" s="1266"/>
      <c r="Z178" s="1266"/>
      <c r="AA178" s="1266"/>
      <c r="AB178" s="1266"/>
      <c r="AC178" s="1266"/>
      <c r="AD178" s="1266"/>
      <c r="AE178" s="1266"/>
      <c r="AF178" s="1266"/>
      <c r="AG178" s="1266"/>
      <c r="AH178" s="1266"/>
      <c r="AI178" s="1266"/>
      <c r="AJ178" s="1266"/>
      <c r="AK178" s="1266"/>
    </row>
    <row s="1857" customFormat="1" customHeight="1" ht="17.25">
      <c r="A179" s="1844"/>
      <c r="C179" s="1849"/>
      <c r="D179" s="2523"/>
      <c r="E179" s="2550"/>
      <c r="F179" s="2166"/>
      <c r="G179" s="2552"/>
      <c r="H179" s="2523"/>
      <c r="I179" s="2523"/>
      <c r="J179" s="2553"/>
      <c r="K179" s="2132"/>
      <c r="L179" s="324"/>
      <c r="M179" s="325"/>
      <c r="N179" s="325" t="s">
        <v>415</v>
      </c>
      <c r="O179" s="325"/>
      <c r="P179" s="325"/>
      <c r="Q179" s="325"/>
      <c r="R179" s="325"/>
      <c r="S179" s="1850"/>
      <c r="T179" s="1850"/>
      <c r="U179" s="1850"/>
      <c r="V179" s="1850"/>
      <c r="W179" s="326"/>
      <c r="Y179" s="1266"/>
      <c r="Z179" s="1266"/>
      <c r="AA179" s="1266"/>
      <c r="AB179" s="1266"/>
      <c r="AC179" s="1266"/>
      <c r="AD179" s="1266"/>
      <c r="AE179" s="1266"/>
      <c r="AF179" s="1266"/>
      <c r="AG179" s="1266"/>
      <c r="AH179" s="1266"/>
      <c r="AI179" s="1266"/>
      <c r="AJ179" s="1266"/>
      <c r="AK179" s="1266"/>
    </row>
    <row s="1857" customFormat="1" customHeight="1" ht="17.25">
      <c r="A180" s="1844"/>
      <c r="C180" s="1849"/>
      <c r="D180" s="2523"/>
      <c r="E180" s="2550"/>
      <c r="F180" s="2167"/>
      <c r="G180" s="2552"/>
      <c r="H180" s="324"/>
      <c r="I180" s="325"/>
      <c r="J180" s="325" t="s">
        <v>447</v>
      </c>
      <c r="K180" s="325"/>
      <c r="L180" s="325"/>
      <c r="M180" s="325"/>
      <c r="N180" s="325"/>
      <c r="O180" s="325"/>
      <c r="P180" s="325"/>
      <c r="Q180" s="325"/>
      <c r="R180" s="325"/>
      <c r="S180" s="1850"/>
      <c r="T180" s="1850"/>
      <c r="U180" s="1850"/>
      <c r="V180" s="1850"/>
      <c r="W180" s="326"/>
      <c r="Y180" s="1266"/>
      <c r="Z180" s="1266"/>
      <c r="AA180" s="1266"/>
      <c r="AB180" s="1266"/>
      <c r="AC180" s="1266"/>
      <c r="AD180" s="1266"/>
      <c r="AE180" s="1266"/>
      <c r="AF180" s="1266"/>
      <c r="AG180" s="1266"/>
      <c r="AH180" s="1266"/>
      <c r="AI180" s="1266"/>
      <c r="AJ180" s="1266"/>
      <c r="AK180" s="1266"/>
    </row>
    <row customHeight="1" ht="17.25">
      <c r="A181" s="1854"/>
    </row>
    <row s="1857" customFormat="1" customHeight="1" ht="17.25">
      <c r="A182" s="1844"/>
      <c r="C182" s="1846"/>
      <c r="D182" s="1836"/>
      <c r="E182" s="1851"/>
      <c r="F182" s="1790"/>
      <c r="G182" s="1852"/>
      <c r="H182" s="2549"/>
      <c r="I182" s="2549">
        <v>1</v>
      </c>
      <c r="J182" s="2521"/>
      <c r="K182" s="2205" t="s">
        <v>61</v>
      </c>
      <c r="L182" s="2128"/>
      <c r="M182" s="2128" t="s">
        <v>109</v>
      </c>
      <c r="N182" s="2524" t="str">
        <f>IF(Z182="","",INDEX(TERRITORY_MR_LIST,MATCH(Z182,TERRITORY_LIST_ID,0)))</f>
        <v/>
      </c>
      <c r="O182" s="2205" t="s">
        <v>61</v>
      </c>
      <c r="P182" s="2128"/>
      <c r="Q182" s="2128" t="s">
        <v>109</v>
      </c>
      <c r="R182" s="2522" t="s">
        <v>22</v>
      </c>
      <c r="S182" s="2426" t="s">
        <v>19</v>
      </c>
      <c r="T182" s="1808"/>
      <c r="U182" s="1808" t="s">
        <v>109</v>
      </c>
      <c r="V182" s="1441"/>
      <c r="W182" s="2521"/>
      <c r="Y182" s="1274"/>
      <c r="Z182" s="1274"/>
      <c r="AA182" s="1274"/>
      <c r="AB182" s="1274"/>
      <c r="AC182" s="1274"/>
      <c r="AD182" s="1274"/>
      <c r="AE182" s="1274"/>
      <c r="AF182" s="1274"/>
      <c r="AG182" s="1274"/>
      <c r="AH182" s="1274"/>
      <c r="AI182" s="1274"/>
      <c r="AJ182" s="1274"/>
      <c r="AK182" s="1274"/>
      <c r="AL182" s="1848"/>
      <c r="AM182" s="1848"/>
      <c r="AN182" s="1274"/>
      <c r="AO182" s="1274"/>
      <c r="AP182" s="1274"/>
      <c r="AQ182" s="1274"/>
    </row>
    <row s="1857" customFormat="1" customHeight="1" ht="17.25">
      <c r="A183" s="1844"/>
      <c r="C183" s="1849"/>
      <c r="D183" s="1836"/>
      <c r="E183" s="1851"/>
      <c r="F183" s="1790"/>
      <c r="G183" s="1852"/>
      <c r="H183" s="2549"/>
      <c r="I183" s="2549"/>
      <c r="J183" s="2521"/>
      <c r="K183" s="2206"/>
      <c r="L183" s="2128"/>
      <c r="M183" s="2128"/>
      <c r="N183" s="2524"/>
      <c r="O183" s="2206"/>
      <c r="P183" s="2128"/>
      <c r="Q183" s="2128"/>
      <c r="R183" s="2522"/>
      <c r="S183" s="2426"/>
      <c r="T183" s="1442"/>
      <c r="U183" s="1443"/>
      <c r="V183" s="1443"/>
      <c r="W183" s="2521"/>
      <c r="Y183" s="1266"/>
      <c r="Z183" s="1266"/>
      <c r="AA183" s="1266"/>
      <c r="AB183" s="1266"/>
      <c r="AC183" s="1266"/>
      <c r="AD183" s="1266"/>
      <c r="AE183" s="1266"/>
      <c r="AF183" s="1266"/>
      <c r="AG183" s="1266"/>
      <c r="AH183" s="1266"/>
      <c r="AI183" s="1266"/>
      <c r="AJ183" s="1266"/>
      <c r="AK183" s="1266"/>
    </row>
    <row s="1857" customFormat="1" customHeight="1" ht="17.25">
      <c r="A184" s="1844"/>
      <c r="C184" s="1849"/>
      <c r="D184" s="1836"/>
      <c r="E184" s="1851"/>
      <c r="F184" s="1790"/>
      <c r="G184" s="1852"/>
      <c r="H184" s="2523"/>
      <c r="I184" s="2523"/>
      <c r="J184" s="2553"/>
      <c r="K184" s="2206"/>
      <c r="L184" s="2523"/>
      <c r="M184" s="2523"/>
      <c r="N184" s="2525"/>
      <c r="O184" s="2132"/>
      <c r="P184" s="324"/>
      <c r="Q184" s="325"/>
      <c r="R184" s="325" t="s">
        <v>414</v>
      </c>
      <c r="S184" s="1850"/>
      <c r="T184" s="1850"/>
      <c r="U184" s="1850"/>
      <c r="V184" s="1850"/>
      <c r="W184" s="1440"/>
      <c r="Y184" s="1266"/>
      <c r="Z184" s="1266"/>
      <c r="AA184" s="1266"/>
      <c r="AB184" s="1266"/>
      <c r="AC184" s="1266"/>
      <c r="AD184" s="1266"/>
      <c r="AE184" s="1266"/>
      <c r="AF184" s="1266"/>
      <c r="AG184" s="1266"/>
      <c r="AH184" s="1266"/>
      <c r="AI184" s="1266"/>
      <c r="AJ184" s="1266"/>
      <c r="AK184" s="1266"/>
    </row>
    <row s="1857" customFormat="1" customHeight="1" ht="17.25">
      <c r="A185" s="1844"/>
      <c r="C185" s="1849"/>
      <c r="D185" s="1836"/>
      <c r="E185" s="1851"/>
      <c r="F185" s="1790"/>
      <c r="G185" s="1852"/>
      <c r="H185" s="2523"/>
      <c r="I185" s="2523"/>
      <c r="J185" s="2553"/>
      <c r="K185" s="2132"/>
      <c r="L185" s="324"/>
      <c r="M185" s="325"/>
      <c r="N185" s="325" t="s">
        <v>415</v>
      </c>
      <c r="O185" s="325"/>
      <c r="P185" s="325"/>
      <c r="Q185" s="325"/>
      <c r="R185" s="325"/>
      <c r="S185" s="1850"/>
      <c r="T185" s="1850"/>
      <c r="U185" s="1850"/>
      <c r="V185" s="1850"/>
      <c r="W185" s="326"/>
      <c r="Y185" s="1266"/>
      <c r="Z185" s="1266"/>
      <c r="AA185" s="1266"/>
      <c r="AB185" s="1266"/>
      <c r="AC185" s="1266"/>
      <c r="AD185" s="1266"/>
      <c r="AE185" s="1266"/>
      <c r="AF185" s="1266"/>
      <c r="AG185" s="1266"/>
      <c r="AH185" s="1266"/>
      <c r="AI185" s="1266"/>
      <c r="AJ185" s="1266"/>
      <c r="AK185" s="1266"/>
    </row>
    <row customHeight="1" ht="17.25">
      <c r="A186" s="1854"/>
    </row>
    <row s="1857" customFormat="1" customHeight="1" ht="17.25">
      <c r="A187" s="1844"/>
      <c r="C187" s="1846"/>
      <c r="D187" s="1836"/>
      <c r="E187" s="1851"/>
      <c r="F187" s="1790"/>
      <c r="G187" s="1852"/>
      <c r="H187" s="1836"/>
      <c r="I187" s="1836"/>
      <c r="J187" s="1855"/>
      <c r="K187" s="1852"/>
      <c r="L187" s="2128"/>
      <c r="M187" s="2128" t="s">
        <v>109</v>
      </c>
      <c r="N187" s="2524" t="str">
        <f>IF(Z187="","",INDEX(TERRITORY_MR_LIST,MATCH(Z187,TERRITORY_LIST_ID,0)))</f>
        <v/>
      </c>
      <c r="O187" s="2205" t="s">
        <v>61</v>
      </c>
      <c r="P187" s="2128"/>
      <c r="Q187" s="2128" t="s">
        <v>109</v>
      </c>
      <c r="R187" s="2522" t="s">
        <v>22</v>
      </c>
      <c r="S187" s="2426" t="s">
        <v>19</v>
      </c>
      <c r="T187" s="1808"/>
      <c r="U187" s="1808" t="s">
        <v>109</v>
      </c>
      <c r="V187" s="1441"/>
      <c r="W187" s="2521"/>
      <c r="Y187" s="1274"/>
      <c r="Z187" s="1274"/>
      <c r="AA187" s="1274"/>
      <c r="AB187" s="1274"/>
      <c r="AC187" s="1274"/>
      <c r="AD187" s="1274"/>
      <c r="AE187" s="1274"/>
      <c r="AF187" s="1274"/>
      <c r="AG187" s="1274"/>
      <c r="AH187" s="1274"/>
      <c r="AI187" s="1274"/>
      <c r="AJ187" s="1274"/>
      <c r="AK187" s="1274"/>
      <c r="AL187" s="1848"/>
      <c r="AM187" s="1848"/>
      <c r="AN187" s="1274"/>
      <c r="AO187" s="1274"/>
      <c r="AP187" s="1274"/>
      <c r="AQ187" s="1274"/>
    </row>
    <row s="1857" customFormat="1" customHeight="1" ht="17.25">
      <c r="A188" s="1844"/>
      <c r="C188" s="1849"/>
      <c r="D188" s="1836"/>
      <c r="E188" s="1851"/>
      <c r="F188" s="1790"/>
      <c r="G188" s="1852"/>
      <c r="H188" s="1836"/>
      <c r="I188" s="1836"/>
      <c r="J188" s="1855"/>
      <c r="K188" s="1852"/>
      <c r="L188" s="2128"/>
      <c r="M188" s="2128"/>
      <c r="N188" s="2524"/>
      <c r="O188" s="2206"/>
      <c r="P188" s="2128"/>
      <c r="Q188" s="2128"/>
      <c r="R188" s="2522"/>
      <c r="S188" s="2426"/>
      <c r="T188" s="1442"/>
      <c r="U188" s="1443"/>
      <c r="V188" s="1443"/>
      <c r="W188" s="2521"/>
      <c r="Y188" s="1266"/>
      <c r="Z188" s="1266"/>
      <c r="AA188" s="1266"/>
      <c r="AB188" s="1266"/>
      <c r="AC188" s="1266"/>
      <c r="AD188" s="1266"/>
      <c r="AE188" s="1266"/>
      <c r="AF188" s="1266"/>
      <c r="AG188" s="1266"/>
      <c r="AH188" s="1266"/>
      <c r="AI188" s="1266"/>
      <c r="AJ188" s="1266"/>
      <c r="AK188" s="1266"/>
    </row>
    <row s="1857" customFormat="1" customHeight="1" ht="17.25">
      <c r="A189" s="1844"/>
      <c r="C189" s="1849"/>
      <c r="D189" s="1836"/>
      <c r="E189" s="1851"/>
      <c r="F189" s="1790"/>
      <c r="G189" s="1852"/>
      <c r="H189" s="1836"/>
      <c r="I189" s="1836"/>
      <c r="J189" s="1855"/>
      <c r="K189" s="1852"/>
      <c r="L189" s="2523"/>
      <c r="M189" s="2523"/>
      <c r="N189" s="2525"/>
      <c r="O189" s="2132"/>
      <c r="P189" s="324"/>
      <c r="Q189" s="325"/>
      <c r="R189" s="325" t="s">
        <v>414</v>
      </c>
      <c r="S189" s="1850"/>
      <c r="T189" s="1850"/>
      <c r="U189" s="1850"/>
      <c r="V189" s="1850"/>
      <c r="W189" s="1440"/>
      <c r="Y189" s="1266"/>
      <c r="Z189" s="1266"/>
      <c r="AA189" s="1266"/>
      <c r="AB189" s="1266"/>
      <c r="AC189" s="1266"/>
      <c r="AD189" s="1266"/>
      <c r="AE189" s="1266"/>
      <c r="AF189" s="1266"/>
      <c r="AG189" s="1266"/>
      <c r="AH189" s="1266"/>
      <c r="AI189" s="1266"/>
      <c r="AJ189" s="1266"/>
      <c r="AK189" s="1266"/>
    </row>
    <row customHeight="1" ht="17.25">
      <c r="A190" s="1854"/>
    </row>
    <row s="1857" customFormat="1" customHeight="1" ht="17.25">
      <c r="A191" s="1844"/>
      <c r="C191" s="1846"/>
      <c r="D191" s="1836"/>
      <c r="E191" s="1851"/>
      <c r="F191" s="1790"/>
      <c r="G191" s="1852"/>
      <c r="H191" s="1836"/>
      <c r="I191" s="1836"/>
      <c r="J191" s="1855"/>
      <c r="K191" s="1852"/>
      <c r="L191" s="1836"/>
      <c r="M191" s="1836"/>
      <c r="N191" s="2052"/>
      <c r="O191" s="1793"/>
      <c r="P191" s="2128"/>
      <c r="Q191" s="2128" t="s">
        <v>109</v>
      </c>
      <c r="R191" s="2522" t="s">
        <v>22</v>
      </c>
      <c r="S191" s="2426" t="s">
        <v>19</v>
      </c>
      <c r="T191" s="1808"/>
      <c r="U191" s="1808" t="s">
        <v>109</v>
      </c>
      <c r="V191" s="1441"/>
      <c r="W191" s="2521"/>
      <c r="Y191" s="1274"/>
      <c r="Z191" s="1274"/>
      <c r="AA191" s="1274"/>
      <c r="AB191" s="1274"/>
      <c r="AC191" s="1274"/>
      <c r="AD191" s="1274"/>
      <c r="AE191" s="1274"/>
      <c r="AF191" s="1274"/>
      <c r="AG191" s="1274"/>
      <c r="AH191" s="1274"/>
      <c r="AI191" s="1274"/>
      <c r="AJ191" s="1274"/>
      <c r="AK191" s="1274"/>
      <c r="AL191" s="1848"/>
      <c r="AM191" s="1848"/>
      <c r="AN191" s="1274"/>
      <c r="AO191" s="1274"/>
      <c r="AP191" s="1274"/>
      <c r="AQ191" s="1274"/>
    </row>
    <row s="1857" customFormat="1" customHeight="1" ht="17.25">
      <c r="A192" s="1844"/>
      <c r="C192" s="1849"/>
      <c r="D192" s="1836"/>
      <c r="E192" s="1851"/>
      <c r="F192" s="1790"/>
      <c r="G192" s="1852"/>
      <c r="H192" s="1836"/>
      <c r="I192" s="1836"/>
      <c r="J192" s="1855"/>
      <c r="K192" s="1852"/>
      <c r="L192" s="1836"/>
      <c r="M192" s="1836"/>
      <c r="N192" s="2052"/>
      <c r="O192" s="1793"/>
      <c r="P192" s="2128"/>
      <c r="Q192" s="2128"/>
      <c r="R192" s="2522"/>
      <c r="S192" s="2426"/>
      <c r="T192" s="1442"/>
      <c r="U192" s="1443"/>
      <c r="V192" s="1443"/>
      <c r="W192" s="2521"/>
      <c r="Y192" s="1266"/>
      <c r="Z192" s="1266"/>
      <c r="AA192" s="1266"/>
      <c r="AB192" s="1266"/>
      <c r="AC192" s="1266"/>
      <c r="AD192" s="1266"/>
      <c r="AE192" s="1266"/>
      <c r="AF192" s="1266"/>
      <c r="AG192" s="1266"/>
      <c r="AH192" s="1266"/>
      <c r="AI192" s="1266"/>
      <c r="AJ192" s="1266"/>
      <c r="AK192" s="1266"/>
    </row>
    <row customHeight="1" ht="17.25">
      <c r="A193" s="1854"/>
    </row>
    <row customHeight="1" ht="16.5">
      <c r="A194" s="1844"/>
      <c r="B194" s="1845"/>
      <c r="C194" s="1849"/>
      <c r="D194" s="2573"/>
      <c r="E194" s="2199"/>
      <c r="F194" s="2199"/>
      <c r="G194" s="2147"/>
      <c r="H194" s="2574"/>
      <c r="I194" s="2587"/>
      <c r="J194" s="2172"/>
      <c r="K194" s="2157"/>
      <c r="L194" s="2157"/>
      <c r="M194" s="2157"/>
      <c r="N194" s="2585"/>
      <c r="O194" s="2157"/>
      <c r="P194" s="2157"/>
      <c r="Q194" s="2157"/>
      <c r="R194" s="2583"/>
      <c r="S194" s="2157"/>
      <c r="T194" s="1789"/>
      <c r="U194" s="1789"/>
      <c r="V194" s="1856"/>
      <c r="W194" s="1303"/>
    </row>
    <row customHeight="1" ht="16.5">
      <c r="A195" s="1844"/>
      <c r="B195" s="1845"/>
      <c r="C195" s="1849"/>
      <c r="D195" s="2573"/>
      <c r="E195" s="2199"/>
      <c r="F195" s="2199"/>
      <c r="G195" s="2147"/>
      <c r="H195" s="2575"/>
      <c r="I195" s="2588"/>
      <c r="J195" s="2173"/>
      <c r="K195" s="2158"/>
      <c r="L195" s="2158"/>
      <c r="M195" s="2158"/>
      <c r="N195" s="2586"/>
      <c r="O195" s="2158"/>
      <c r="P195" s="2158"/>
      <c r="Q195" s="2158"/>
      <c r="R195" s="2584"/>
      <c r="S195" s="2158"/>
      <c r="T195" s="1304"/>
      <c r="U195" s="1304"/>
      <c r="V195" s="1304"/>
      <c r="W195" s="1305"/>
    </row>
    <row customHeight="1" ht="17.25">
      <c r="A196" s="1844"/>
      <c r="B196" s="1845"/>
      <c r="C196" s="1849"/>
      <c r="D196" s="2573"/>
      <c r="E196" s="2199"/>
      <c r="F196" s="2199"/>
      <c r="G196" s="2147"/>
      <c r="H196" s="2575"/>
      <c r="I196" s="2588"/>
      <c r="J196" s="2576"/>
      <c r="K196" s="2158"/>
      <c r="L196" s="2158"/>
      <c r="M196" s="2158"/>
      <c r="N196" s="2584"/>
      <c r="O196" s="2158"/>
      <c r="P196" s="1792"/>
      <c r="Q196" s="1304"/>
      <c r="R196" s="1304"/>
      <c r="S196" s="1857"/>
      <c r="T196" s="1857"/>
      <c r="U196" s="1857"/>
      <c r="V196" s="1857"/>
      <c r="W196" s="1305"/>
    </row>
    <row customHeight="1" ht="17.25">
      <c r="A197" s="1844"/>
      <c r="B197" s="1845"/>
      <c r="C197" s="1849"/>
      <c r="D197" s="2573"/>
      <c r="E197" s="2199"/>
      <c r="F197" s="2199"/>
      <c r="G197" s="2147"/>
      <c r="H197" s="2575"/>
      <c r="I197" s="2588"/>
      <c r="J197" s="2576"/>
      <c r="K197" s="2158"/>
      <c r="L197" s="1304"/>
      <c r="M197" s="1304"/>
      <c r="N197" s="1304"/>
      <c r="O197" s="1304"/>
      <c r="P197" s="1304"/>
      <c r="Q197" s="1304"/>
      <c r="R197" s="1304"/>
      <c r="S197" s="1857"/>
      <c r="T197" s="1857"/>
      <c r="U197" s="1857"/>
      <c r="V197" s="1857"/>
      <c r="W197" s="1305"/>
    </row>
    <row customHeight="1" ht="17.25">
      <c r="A198" s="1844"/>
      <c r="B198" s="1845"/>
      <c r="C198" s="1849"/>
      <c r="D198" s="2573"/>
      <c r="E198" s="2199"/>
      <c r="F198" s="2199"/>
      <c r="G198" s="2147"/>
      <c r="H198" s="1306"/>
      <c r="I198" s="1307"/>
      <c r="J198" s="1307"/>
      <c r="K198" s="1307"/>
      <c r="L198" s="1307"/>
      <c r="M198" s="1307"/>
      <c r="N198" s="1307"/>
      <c r="O198" s="1307"/>
      <c r="P198" s="1307"/>
      <c r="Q198" s="1307"/>
      <c r="R198" s="1307"/>
      <c r="S198" s="1858"/>
      <c r="T198" s="1858"/>
      <c r="U198" s="1858"/>
      <c r="V198" s="1858"/>
      <c r="W198" s="1309"/>
    </row>
    <row r="200" s="1821" customFormat="1" customHeight="1" ht="17.25">
      <c r="A200" s="1821" t="s">
        <v>2024</v>
      </c>
    </row>
    <row customHeight="1" ht="17.25">
      <c r="G201" s="1843"/>
      <c r="H201" s="1843"/>
      <c r="I201" s="1843"/>
      <c r="M201" s="1839"/>
    </row>
    <row s="1854" customFormat="1" customHeight="1" ht="15">
      <c r="D202" s="2543"/>
      <c r="E202" s="2219"/>
      <c r="F202" s="2219"/>
      <c r="G202" s="2205"/>
      <c r="H202" s="1571"/>
      <c r="I202" s="2547">
        <v>1</v>
      </c>
      <c r="J202" s="2521"/>
      <c r="K202" s="1586"/>
      <c r="L202" s="2205" t="s">
        <v>61</v>
      </c>
      <c r="M202" s="2205" t="s">
        <v>61</v>
      </c>
      <c r="N202" s="1571"/>
      <c r="O202" s="2128" t="s">
        <v>109</v>
      </c>
      <c r="P202" s="2537"/>
      <c r="Q202" s="1587"/>
      <c r="R202" s="2205" t="s">
        <v>61</v>
      </c>
      <c r="S202" s="2205" t="s">
        <v>61</v>
      </c>
      <c r="T202" s="1859"/>
      <c r="U202" s="2128" t="s">
        <v>109</v>
      </c>
      <c r="V202" s="2544" t="str">
        <f>IF(AK202="","",INDEX(TERRITORY_MR_LIST,MATCH(AK202,TERRITORY_LIST_ID,0)))</f>
        <v/>
      </c>
      <c r="W202" s="1588"/>
      <c r="X202" s="2205" t="s">
        <v>61</v>
      </c>
      <c r="Y202" s="2205" t="s">
        <v>19</v>
      </c>
      <c r="Z202" s="1571"/>
      <c r="AA202" s="2128" t="s">
        <v>109</v>
      </c>
      <c r="AB202" s="2546"/>
      <c r="AC202" s="1589"/>
      <c r="AD202" s="2205" t="s">
        <v>61</v>
      </c>
      <c r="AE202" s="2205" t="s">
        <v>19</v>
      </c>
      <c r="AF202" s="1569"/>
      <c r="AG202" s="1817" t="s">
        <v>109</v>
      </c>
      <c r="AH202" s="1579"/>
      <c r="AI202" s="1807"/>
    </row>
    <row s="1854" customFormat="1" customHeight="1" ht="15">
      <c r="D203" s="2543"/>
      <c r="E203" s="2219"/>
      <c r="F203" s="2219"/>
      <c r="G203" s="2206"/>
      <c r="H203" s="1571"/>
      <c r="I203" s="2547"/>
      <c r="J203" s="2521"/>
      <c r="K203" s="1570"/>
      <c r="L203" s="2206"/>
      <c r="M203" s="2206"/>
      <c r="N203" s="1571"/>
      <c r="O203" s="2128"/>
      <c r="P203" s="2537"/>
      <c r="Q203" s="1567"/>
      <c r="R203" s="2206"/>
      <c r="S203" s="2206"/>
      <c r="T203" s="1859"/>
      <c r="U203" s="2128"/>
      <c r="V203" s="2545"/>
      <c r="W203" s="1568"/>
      <c r="X203" s="2206"/>
      <c r="Y203" s="2206"/>
      <c r="Z203" s="1571"/>
      <c r="AA203" s="2128"/>
      <c r="AB203" s="2515"/>
      <c r="AC203" s="1572"/>
      <c r="AD203" s="2132"/>
      <c r="AE203" s="2132"/>
      <c r="AF203" s="1573"/>
      <c r="AG203" s="1574"/>
      <c r="AH203" s="2538" t="s">
        <v>2025</v>
      </c>
      <c r="AI203" s="2539"/>
    </row>
    <row s="1854" customFormat="1" customHeight="1" ht="15">
      <c r="D204" s="2543"/>
      <c r="E204" s="2219"/>
      <c r="F204" s="2219"/>
      <c r="G204" s="2206"/>
      <c r="H204" s="1571"/>
      <c r="I204" s="2547"/>
      <c r="J204" s="2521"/>
      <c r="K204" s="1570"/>
      <c r="L204" s="2206"/>
      <c r="M204" s="2206"/>
      <c r="N204" s="1571"/>
      <c r="O204" s="2128"/>
      <c r="P204" s="2537"/>
      <c r="Q204" s="1567"/>
      <c r="R204" s="2206"/>
      <c r="S204" s="2206"/>
      <c r="T204" s="1859"/>
      <c r="U204" s="2128"/>
      <c r="V204" s="2545"/>
      <c r="W204" s="1568"/>
      <c r="X204" s="2206"/>
      <c r="Y204" s="2206"/>
      <c r="Z204" s="1610"/>
      <c r="AA204" s="1576"/>
      <c r="AB204" s="2540" t="s">
        <v>2026</v>
      </c>
      <c r="AC204" s="2540"/>
      <c r="AD204" s="2540"/>
      <c r="AE204" s="2540"/>
      <c r="AF204" s="2540"/>
      <c r="AG204" s="2540"/>
      <c r="AH204" s="2540"/>
      <c r="AI204" s="2541"/>
    </row>
    <row s="1854" customFormat="1" customHeight="1" ht="15">
      <c r="D205" s="2543"/>
      <c r="E205" s="2219"/>
      <c r="F205" s="2219"/>
      <c r="G205" s="2206"/>
      <c r="H205" s="1571"/>
      <c r="I205" s="2547"/>
      <c r="J205" s="2521"/>
      <c r="K205" s="1570"/>
      <c r="L205" s="2206"/>
      <c r="M205" s="2206"/>
      <c r="N205" s="1571"/>
      <c r="O205" s="2128"/>
      <c r="P205" s="2542"/>
      <c r="Q205" s="1567"/>
      <c r="R205" s="2206"/>
      <c r="S205" s="2206"/>
      <c r="T205" s="1860"/>
      <c r="U205" s="1611"/>
      <c r="V205" s="2538" t="s">
        <v>103</v>
      </c>
      <c r="W205" s="2538"/>
      <c r="X205" s="2538"/>
      <c r="Y205" s="2538"/>
      <c r="Z205" s="2538"/>
      <c r="AA205" s="2538"/>
      <c r="AB205" s="2538"/>
      <c r="AC205" s="2538"/>
      <c r="AD205" s="2538"/>
      <c r="AE205" s="2538"/>
      <c r="AF205" s="2538"/>
      <c r="AG205" s="2538"/>
      <c r="AH205" s="2538"/>
      <c r="AI205" s="2539"/>
    </row>
    <row s="1854" customFormat="1" customHeight="1" ht="11.25">
      <c r="D206" s="2543"/>
      <c r="E206" s="2219"/>
      <c r="F206" s="2219"/>
      <c r="G206" s="2206"/>
      <c r="H206" s="1575"/>
      <c r="I206" s="2547"/>
      <c r="J206" s="2548"/>
      <c r="K206" s="1570"/>
      <c r="L206" s="2206"/>
      <c r="M206" s="2206"/>
      <c r="N206" s="1575"/>
      <c r="O206" s="1576"/>
      <c r="P206" s="2538" t="s">
        <v>2027</v>
      </c>
      <c r="Q206" s="2538"/>
      <c r="R206" s="2538"/>
      <c r="S206" s="2538"/>
      <c r="T206" s="2538"/>
      <c r="U206" s="2538"/>
      <c r="V206" s="2538"/>
      <c r="W206" s="2538"/>
      <c r="X206" s="2538"/>
      <c r="Y206" s="2538"/>
      <c r="Z206" s="2538"/>
      <c r="AA206" s="2538"/>
      <c r="AB206" s="2538"/>
      <c r="AC206" s="2538"/>
      <c r="AD206" s="2538"/>
      <c r="AE206" s="2538"/>
      <c r="AF206" s="2538"/>
      <c r="AG206" s="2538"/>
      <c r="AH206" s="2538"/>
      <c r="AI206" s="2539"/>
    </row>
    <row s="1561" customFormat="1" customHeight="1" ht="11.25">
      <c r="D207" s="2543"/>
      <c r="E207" s="2219"/>
      <c r="F207" s="2219"/>
      <c r="G207" s="2132"/>
      <c r="H207" s="1577"/>
      <c r="I207" s="1578"/>
      <c r="J207" s="2538" t="s">
        <v>447</v>
      </c>
      <c r="K207" s="2538"/>
      <c r="L207" s="2538"/>
      <c r="M207" s="2538"/>
      <c r="N207" s="2538"/>
      <c r="O207" s="2538"/>
      <c r="P207" s="2538"/>
      <c r="Q207" s="2538"/>
      <c r="R207" s="2538"/>
      <c r="S207" s="2538"/>
      <c r="T207" s="2538"/>
      <c r="U207" s="2538"/>
      <c r="V207" s="2538"/>
      <c r="W207" s="2538"/>
      <c r="X207" s="2538"/>
      <c r="Y207" s="2538"/>
      <c r="Z207" s="2538"/>
      <c r="AA207" s="2538"/>
      <c r="AB207" s="2538"/>
      <c r="AC207" s="2538"/>
      <c r="AD207" s="2538"/>
      <c r="AE207" s="2538"/>
      <c r="AF207" s="2538"/>
      <c r="AG207" s="2538"/>
      <c r="AH207" s="2538"/>
      <c r="AI207" s="2539"/>
      <c r="BK207" s="1581"/>
    </row>
    <row customHeight="1" ht="17.25">
      <c r="G208" s="1843"/>
      <c r="I208" s="1843"/>
      <c r="J208" s="1843"/>
      <c r="N208" s="1839"/>
    </row>
    <row s="1854" customFormat="1" customHeight="1" ht="15">
      <c r="D209" s="2543"/>
      <c r="E209" s="2219"/>
      <c r="F209" s="2219"/>
      <c r="G209" s="2199"/>
      <c r="H209" s="1606"/>
      <c r="I209" s="2201"/>
      <c r="J209" s="2172"/>
      <c r="K209" s="1791"/>
      <c r="L209" s="2157"/>
      <c r="M209" s="2157"/>
      <c r="N209" s="1591"/>
      <c r="O209" s="2157"/>
      <c r="P209" s="2172"/>
      <c r="Q209" s="1795"/>
      <c r="R209" s="2157"/>
      <c r="S209" s="2157"/>
      <c r="T209" s="1861"/>
      <c r="U209" s="2157"/>
      <c r="V209" s="2172"/>
      <c r="W209" s="1594"/>
      <c r="X209" s="2157"/>
      <c r="Y209" s="2157"/>
      <c r="Z209" s="1591"/>
      <c r="AA209" s="2157"/>
      <c r="AB209" s="2172"/>
      <c r="AC209" s="1595"/>
      <c r="AD209" s="2157"/>
      <c r="AE209" s="2157"/>
      <c r="AF209" s="1789"/>
      <c r="AG209" s="1789"/>
      <c r="AH209" s="1596"/>
      <c r="AI209" s="1303"/>
    </row>
    <row s="1854" customFormat="1" customHeight="1" ht="15">
      <c r="D210" s="2543"/>
      <c r="E210" s="2219"/>
      <c r="F210" s="2219"/>
      <c r="G210" s="2199"/>
      <c r="H210" s="1607"/>
      <c r="I210" s="2202"/>
      <c r="J210" s="2173"/>
      <c r="K210" s="1617"/>
      <c r="L210" s="2158"/>
      <c r="M210" s="2158"/>
      <c r="N210" s="1597"/>
      <c r="O210" s="2158"/>
      <c r="P210" s="2173"/>
      <c r="Q210" s="1796"/>
      <c r="R210" s="2158"/>
      <c r="S210" s="2158"/>
      <c r="T210" s="1862"/>
      <c r="U210" s="2158"/>
      <c r="V210" s="2173"/>
      <c r="W210" s="1600"/>
      <c r="X210" s="2158"/>
      <c r="Y210" s="2158"/>
      <c r="Z210" s="1597"/>
      <c r="AA210" s="2158"/>
      <c r="AB210" s="2173"/>
      <c r="AC210" s="1601"/>
      <c r="AD210" s="2158"/>
      <c r="AE210" s="2158"/>
      <c r="AF210" s="1794"/>
      <c r="AG210" s="1794"/>
      <c r="AH210" s="2197"/>
      <c r="AI210" s="2198"/>
    </row>
    <row s="1854" customFormat="1" customHeight="1" ht="15">
      <c r="D211" s="2543"/>
      <c r="E211" s="2219"/>
      <c r="F211" s="2219"/>
      <c r="G211" s="2199"/>
      <c r="H211" s="1607"/>
      <c r="I211" s="2202"/>
      <c r="J211" s="2173"/>
      <c r="K211" s="1617"/>
      <c r="L211" s="2158"/>
      <c r="M211" s="2158"/>
      <c r="N211" s="1597"/>
      <c r="O211" s="2158"/>
      <c r="P211" s="2173"/>
      <c r="Q211" s="1796"/>
      <c r="R211" s="2158"/>
      <c r="S211" s="2158"/>
      <c r="T211" s="1862"/>
      <c r="U211" s="2158"/>
      <c r="V211" s="2173"/>
      <c r="W211" s="1600"/>
      <c r="X211" s="2158"/>
      <c r="Y211" s="2158"/>
      <c r="Z211" s="1792"/>
      <c r="AA211" s="1794"/>
      <c r="AB211" s="2197"/>
      <c r="AC211" s="2197"/>
      <c r="AD211" s="2197"/>
      <c r="AE211" s="2197"/>
      <c r="AF211" s="2197"/>
      <c r="AG211" s="2197"/>
      <c r="AH211" s="2197"/>
      <c r="AI211" s="2198"/>
    </row>
    <row s="1854" customFormat="1" customHeight="1" ht="15">
      <c r="D212" s="2543"/>
      <c r="E212" s="2219"/>
      <c r="F212" s="2219"/>
      <c r="G212" s="2199"/>
      <c r="H212" s="1607"/>
      <c r="I212" s="2202"/>
      <c r="J212" s="2173"/>
      <c r="K212" s="1617"/>
      <c r="L212" s="2158"/>
      <c r="M212" s="2158"/>
      <c r="N212" s="1597"/>
      <c r="O212" s="2158"/>
      <c r="P212" s="2173"/>
      <c r="Q212" s="1796"/>
      <c r="R212" s="2158"/>
      <c r="S212" s="2158"/>
      <c r="T212" s="1863"/>
      <c r="U212" s="1604"/>
      <c r="V212" s="2197"/>
      <c r="W212" s="2197"/>
      <c r="X212" s="2197"/>
      <c r="Y212" s="2197"/>
      <c r="Z212" s="2197"/>
      <c r="AA212" s="2197"/>
      <c r="AB212" s="2197"/>
      <c r="AC212" s="2197"/>
      <c r="AD212" s="2197"/>
      <c r="AE212" s="2197"/>
      <c r="AF212" s="2197"/>
      <c r="AG212" s="2197"/>
      <c r="AH212" s="2197"/>
      <c r="AI212" s="2198"/>
    </row>
    <row s="1854" customFormat="1" customHeight="1" ht="11.25">
      <c r="D213" s="2543"/>
      <c r="E213" s="2219"/>
      <c r="F213" s="2219"/>
      <c r="G213" s="2199"/>
      <c r="H213" s="1608"/>
      <c r="I213" s="2202"/>
      <c r="J213" s="2173"/>
      <c r="K213" s="1617"/>
      <c r="L213" s="2158"/>
      <c r="M213" s="2158"/>
      <c r="N213" s="1794"/>
      <c r="O213" s="1794"/>
      <c r="P213" s="2197"/>
      <c r="Q213" s="2197"/>
      <c r="R213" s="2197"/>
      <c r="S213" s="2197"/>
      <c r="T213" s="2197"/>
      <c r="U213" s="2197"/>
      <c r="V213" s="2197"/>
      <c r="W213" s="2197"/>
      <c r="X213" s="2197"/>
      <c r="Y213" s="2197"/>
      <c r="Z213" s="2197"/>
      <c r="AA213" s="2197"/>
      <c r="AB213" s="2197"/>
      <c r="AC213" s="2197"/>
      <c r="AD213" s="2197"/>
      <c r="AE213" s="2197"/>
      <c r="AF213" s="2197"/>
      <c r="AG213" s="2197"/>
      <c r="AH213" s="2197"/>
      <c r="AI213" s="2198"/>
    </row>
    <row s="1561" customFormat="1" customHeight="1" ht="11.25">
      <c r="D214" s="2543"/>
      <c r="E214" s="2219"/>
      <c r="F214" s="2219"/>
      <c r="G214" s="2204"/>
      <c r="H214" s="1605"/>
      <c r="I214" s="1609"/>
      <c r="J214" s="2207"/>
      <c r="K214" s="2207"/>
      <c r="L214" s="2207"/>
      <c r="M214" s="2207"/>
      <c r="N214" s="2207"/>
      <c r="O214" s="2207"/>
      <c r="P214" s="2207"/>
      <c r="Q214" s="2207"/>
      <c r="R214" s="2207"/>
      <c r="S214" s="2207"/>
      <c r="T214" s="2207"/>
      <c r="U214" s="2207"/>
      <c r="V214" s="2207"/>
      <c r="W214" s="2207"/>
      <c r="X214" s="2207"/>
      <c r="Y214" s="2207"/>
      <c r="Z214" s="2207"/>
      <c r="AA214" s="2207"/>
      <c r="AB214" s="2207"/>
      <c r="AC214" s="2207"/>
      <c r="AD214" s="2207"/>
      <c r="AE214" s="2207"/>
      <c r="AF214" s="2207"/>
      <c r="AG214" s="2207"/>
      <c r="AH214" s="2207"/>
      <c r="AI214" s="2208"/>
      <c r="BK214" s="1581"/>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B23C7-D416-2AA2-A02A-0.413F0AE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2028</v>
      </c>
      <c r="B1" s="853"/>
      <c r="C1" s="989" t="s">
        <v>2029</v>
      </c>
      <c r="D1" s="987" t="s">
        <v>854</v>
      </c>
      <c r="E1" s="987" t="s">
        <v>900</v>
      </c>
      <c r="F1" s="987" t="s">
        <v>954</v>
      </c>
      <c r="G1" s="987" t="s">
        <v>941</v>
      </c>
      <c r="H1" s="987" t="s">
        <v>1708</v>
      </c>
    </row>
    <row customHeight="1" ht="9">
      <c r="A2" s="990" t="s">
        <v>2030</v>
      </c>
      <c r="B2" s="990"/>
      <c r="C2" s="991" t="str">
        <f>INDEX(TEMPLATE_NUMBER_FORM_LIST,MATCH(TEMPLATE_SPHERE,TEMPLATE_SPHERE_LIST,0))</f>
        <v>10</v>
      </c>
      <c r="D2" s="990" t="s">
        <v>1558</v>
      </c>
      <c r="E2" s="990" t="s">
        <v>150</v>
      </c>
      <c r="F2" s="992" t="s">
        <v>150</v>
      </c>
      <c r="G2" s="990" t="s">
        <v>150</v>
      </c>
      <c r="H2" s="993"/>
    </row>
    <row customHeight="1" ht="63">
      <c r="A3" s="853"/>
      <c r="B3" s="853" t="s">
        <v>109</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1" t="s">
        <v>2031</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2"/>
      <c r="G3" s="993"/>
      <c r="H3" s="853"/>
    </row>
    <row customHeight="1" ht="243">
      <c r="A4" s="853" t="s">
        <v>2032</v>
      </c>
      <c r="B4" s="853" t="s">
        <v>110</v>
      </c>
      <c r="C4" s="991" t="str">
        <f>IF(TEMPLATE_SPHERE="HEAT",D4,IF(TEMPLATE_SPHERE="TKO",H4,E4))</f>
        <v>Форма 1. Информация об организации, осуществляющей холодное водоснабжение (общая информация)</v>
      </c>
      <c r="D4" s="990" t="s">
        <v>2033</v>
      </c>
      <c r="E4" s="99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0"/>
      <c r="G4" s="990"/>
      <c r="H4" s="853" t="s">
        <v>2034</v>
      </c>
    </row>
    <row customHeight="1" ht="117">
      <c r="A5" s="853" t="s">
        <v>2035</v>
      </c>
      <c r="B5" s="853" t="s">
        <v>89</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3" t="s">
        <v>2036</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3"/>
      <c r="G5" s="993"/>
      <c r="H5" s="853" t="s">
        <v>2037</v>
      </c>
    </row>
    <row customHeight="1" ht="90">
      <c r="A6" s="853" t="s">
        <v>2038</v>
      </c>
      <c r="B6" s="853" t="s">
        <v>90</v>
      </c>
      <c r="C6" s="991"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3"/>
      <c r="G6" s="853"/>
      <c r="H6" s="993"/>
    </row>
    <row customHeight="1" ht="45">
      <c r="A7" s="853" t="s">
        <v>2039</v>
      </c>
      <c r="B7" s="853" t="s">
        <v>111</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3" t="s">
        <v>2040</v>
      </c>
      <c r="E7" s="853" t="s">
        <v>2041</v>
      </c>
      <c r="F7" s="993"/>
      <c r="G7" s="993"/>
      <c r="H7" s="993"/>
    </row>
    <row customHeight="1" ht="108">
      <c r="A8" s="853" t="s">
        <v>2042</v>
      </c>
      <c r="B8" s="853" t="s">
        <v>91</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3" t="s">
        <v>1253</v>
      </c>
      <c r="E8" s="853" t="s">
        <v>2043</v>
      </c>
      <c r="F8" s="993"/>
      <c r="G8" s="993"/>
      <c r="H8" s="993"/>
    </row>
    <row customHeight="1" ht="99">
      <c r="A9" s="853" t="s">
        <v>2044</v>
      </c>
      <c r="B9" s="853"/>
      <c r="C9" s="853" t="s">
        <v>2045</v>
      </c>
      <c r="D9" s="853"/>
      <c r="E9" s="853"/>
      <c r="F9" s="993"/>
      <c r="G9" s="993"/>
      <c r="H9" s="993"/>
    </row>
    <row customHeight="1" ht="126">
      <c r="A10" s="853" t="s">
        <v>2046</v>
      </c>
      <c r="B10" s="853"/>
      <c r="C10" s="853" t="s">
        <v>2047</v>
      </c>
      <c r="D10" s="853"/>
      <c r="E10" s="853"/>
      <c r="F10" s="993"/>
      <c r="G10" s="993"/>
      <c r="H10" s="993"/>
    </row>
    <row customHeight="1" ht="108">
      <c r="A11" s="853" t="s">
        <v>2048</v>
      </c>
      <c r="B11" s="853"/>
      <c r="C11" s="853" t="s">
        <v>2049</v>
      </c>
      <c r="D11" s="853"/>
      <c r="E11" s="853"/>
      <c r="F11" s="993"/>
      <c r="G11" s="993"/>
      <c r="H11" s="993"/>
    </row>
    <row customHeight="1" ht="54">
      <c r="A12" s="853" t="s">
        <v>2050</v>
      </c>
      <c r="B12" s="853"/>
      <c r="C12" s="853" t="s">
        <v>2051</v>
      </c>
      <c r="D12" s="853"/>
      <c r="E12" s="853"/>
      <c r="F12" s="993"/>
      <c r="G12" s="993"/>
      <c r="H12" s="993"/>
    </row>
    <row customHeight="1" ht="45">
      <c r="A13" s="853" t="s">
        <v>2052</v>
      </c>
      <c r="B13" s="853"/>
      <c r="C13" s="853" t="s">
        <v>2053</v>
      </c>
      <c r="D13" s="853"/>
      <c r="E13" s="853"/>
      <c r="F13" s="993"/>
      <c r="G13" s="993"/>
      <c r="H13" s="993"/>
    </row>
    <row customHeight="1" ht="117">
      <c r="A14" s="853" t="s">
        <v>2054</v>
      </c>
      <c r="B14" s="853"/>
      <c r="C14" s="853" t="s">
        <v>2055</v>
      </c>
      <c r="D14" s="853"/>
      <c r="E14" s="853"/>
      <c r="F14" s="993"/>
      <c r="G14" s="993"/>
      <c r="H14" s="993"/>
    </row>
    <row customHeight="1" ht="117">
      <c r="A15" s="853" t="s">
        <v>2056</v>
      </c>
      <c r="B15" s="853"/>
      <c r="C15" s="853" t="s">
        <v>2057</v>
      </c>
      <c r="D15" s="853"/>
      <c r="E15" s="853"/>
      <c r="F15" s="993"/>
      <c r="G15" s="993"/>
      <c r="H15" s="993"/>
    </row>
    <row customHeight="1" ht="63">
      <c r="A16" s="853" t="s">
        <v>2058</v>
      </c>
      <c r="B16" s="853"/>
      <c r="C16" s="853" t="s">
        <v>2059</v>
      </c>
      <c r="D16" s="853"/>
      <c r="E16" s="853"/>
      <c r="F16" s="993"/>
      <c r="G16" s="993"/>
      <c r="H16" s="993"/>
    </row>
    <row customHeight="1" ht="54">
      <c r="A17" s="853" t="s">
        <v>2060</v>
      </c>
      <c r="B17" s="853"/>
      <c r="C17" s="991" t="s">
        <v>2061</v>
      </c>
      <c r="D17" s="853"/>
      <c r="E17" s="853"/>
      <c r="F17" s="993"/>
      <c r="G17" s="993"/>
      <c r="H17" s="993"/>
    </row>
    <row customHeight="1" ht="27">
      <c r="A18" s="853" t="s">
        <v>2062</v>
      </c>
      <c r="B18" s="853"/>
      <c r="C18" s="991" t="s">
        <v>2063</v>
      </c>
      <c r="D18" s="853"/>
      <c r="E18" s="853"/>
      <c r="F18" s="993"/>
      <c r="G18" s="993"/>
      <c r="H18" s="993"/>
    </row>
    <row customHeight="1" ht="54">
      <c r="A19" s="853" t="s">
        <v>2064</v>
      </c>
      <c r="B19" s="853"/>
      <c r="C19" s="991" t="s">
        <v>2065</v>
      </c>
      <c r="D19" s="853"/>
      <c r="E19" s="853"/>
      <c r="F19" s="993"/>
      <c r="G19" s="993"/>
      <c r="H19" s="993"/>
    </row>
    <row customHeight="1" ht="36">
      <c r="A20" s="853" t="s">
        <v>2066</v>
      </c>
      <c r="B20" s="853"/>
      <c r="C20" s="991" t="s">
        <v>2067</v>
      </c>
      <c r="D20" s="853"/>
      <c r="E20" s="853"/>
      <c r="F20" s="993"/>
      <c r="G20" s="993"/>
      <c r="H20" s="993"/>
    </row>
    <row customHeight="1" ht="36">
      <c r="A21" s="853" t="s">
        <v>2068</v>
      </c>
      <c r="B21" s="853"/>
      <c r="C21" s="991" t="s">
        <v>2069</v>
      </c>
      <c r="D21" s="853"/>
      <c r="E21" s="853"/>
      <c r="F21" s="993"/>
      <c r="G21" s="993"/>
      <c r="H21" s="993"/>
    </row>
    <row customHeight="1" ht="27">
      <c r="A22" s="853" t="s">
        <v>2070</v>
      </c>
      <c r="B22" s="853"/>
      <c r="C22" s="991" t="s">
        <v>2071</v>
      </c>
      <c r="D22" s="853"/>
      <c r="E22" s="853"/>
      <c r="F22" s="993"/>
      <c r="G22" s="993"/>
      <c r="H22" s="993"/>
    </row>
    <row customHeight="1" ht="36">
      <c r="A23" s="853" t="s">
        <v>2072</v>
      </c>
      <c r="B23" s="853"/>
      <c r="C23" s="991" t="s">
        <v>2073</v>
      </c>
      <c r="D23" s="853"/>
      <c r="E23" s="853"/>
      <c r="F23" s="993"/>
      <c r="G23" s="993"/>
      <c r="H23" s="993"/>
    </row>
    <row customHeight="1" ht="28.5">
      <c r="A24" s="853" t="s">
        <v>2074</v>
      </c>
      <c r="B24" s="853"/>
      <c r="C24" s="991" t="s">
        <v>2075</v>
      </c>
      <c r="D24" s="853"/>
      <c r="E24" s="853"/>
      <c r="F24" s="993"/>
      <c r="G24" s="993"/>
      <c r="H24" s="993"/>
    </row>
    <row customHeight="1" ht="36">
      <c r="A25" s="853" t="s">
        <v>2076</v>
      </c>
      <c r="B25" s="853"/>
      <c r="C25" s="991" t="s">
        <v>2077</v>
      </c>
      <c r="D25" s="853"/>
      <c r="E25" s="853"/>
      <c r="F25" s="993"/>
      <c r="G25" s="993"/>
      <c r="H25" s="993"/>
    </row>
    <row customHeight="1" ht="27">
      <c r="A26" s="853" t="s">
        <v>2078</v>
      </c>
      <c r="B26" s="853"/>
      <c r="C26" s="991" t="s">
        <v>2079</v>
      </c>
      <c r="D26" s="853"/>
      <c r="E26" s="853"/>
      <c r="F26" s="993"/>
      <c r="G26" s="993"/>
      <c r="H26" s="993"/>
    </row>
    <row customHeight="1" ht="36">
      <c r="A27" s="853" t="s">
        <v>2080</v>
      </c>
      <c r="B27" s="853"/>
      <c r="C27" s="991" t="s">
        <v>2081</v>
      </c>
      <c r="D27" s="853"/>
      <c r="E27" s="853"/>
      <c r="F27" s="993"/>
      <c r="G27" s="993"/>
      <c r="H27" s="993"/>
    </row>
    <row customHeight="1" ht="28.5">
      <c r="A28" s="853" t="s">
        <v>2082</v>
      </c>
      <c r="B28" s="853"/>
      <c r="C28" s="991" t="s">
        <v>2083</v>
      </c>
      <c r="D28" s="853"/>
      <c r="E28" s="853"/>
      <c r="F28" s="993"/>
      <c r="G28" s="993"/>
      <c r="H28" s="993"/>
    </row>
    <row customHeight="1" ht="126">
      <c r="A29" s="853" t="s">
        <v>2084</v>
      </c>
      <c r="B29" s="853" t="s">
        <v>1660</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3" t="s">
        <v>2085</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3"/>
      <c r="G29" s="993"/>
      <c r="H29" s="853" t="s">
        <v>2086</v>
      </c>
    </row>
    <row customHeight="1" ht="36">
      <c r="A30" s="853" t="s">
        <v>2087</v>
      </c>
      <c r="B30" s="853"/>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3" t="s">
        <v>2088</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3"/>
      <c r="G30" s="993"/>
      <c r="H30" s="993"/>
    </row>
    <row customHeight="1" ht="54">
      <c r="A31" s="853" t="s">
        <v>2089</v>
      </c>
      <c r="B31" s="853"/>
      <c r="C31" s="991" t="str">
        <f>IF(TEMPLATE_SPHERE="HEAT",D31,IF(TEMPLATE_SPHERE="TKO",H31,E31))</f>
        <v>Форма 1. Информация об организации, осуществляющей холодное водоснабжение (общая информация)</v>
      </c>
      <c r="D31" s="853" t="s">
        <v>2090</v>
      </c>
      <c r="E31" s="85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3"/>
      <c r="G31" s="993"/>
      <c r="H31" s="993"/>
    </row>
    <row customHeight="1" ht="198">
      <c r="A32" s="853" t="s">
        <v>2091</v>
      </c>
      <c r="B32" s="853"/>
      <c r="C32" s="991"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3" t="s">
        <v>2092</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3"/>
      <c r="G32" s="993"/>
      <c r="H32" s="853" t="s">
        <v>2093</v>
      </c>
    </row>
    <row customHeight="1" ht="9">
      <c r="A33" s="853"/>
      <c r="B33" s="853"/>
      <c r="C33" s="991"/>
      <c r="D33" s="853"/>
      <c r="E33" s="853"/>
      <c r="F33" s="993"/>
      <c r="G33" s="993"/>
      <c r="H33" s="993"/>
    </row>
    <row customHeight="1" ht="9">
      <c r="A34" s="853"/>
      <c r="B34" s="853" t="s">
        <v>1596</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A5326B-79BC-44D2-37A9-0.C64E8C7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2094</v>
      </c>
      <c r="D1" s="905"/>
      <c r="E1" s="905"/>
      <c r="F1" s="905"/>
      <c r="G1" s="905"/>
      <c r="H1" s="905" t="s">
        <v>2095</v>
      </c>
      <c r="I1" s="905"/>
      <c r="J1" s="905"/>
      <c r="K1" s="905"/>
      <c r="L1" s="905"/>
      <c r="M1" s="905" t="s">
        <v>2096</v>
      </c>
      <c r="N1" s="905" t="s">
        <v>2097</v>
      </c>
      <c r="O1" s="2612" t="s">
        <v>2098</v>
      </c>
      <c r="P1" s="2612"/>
      <c r="Q1" s="2612"/>
      <c r="R1" s="2612"/>
      <c r="S1" s="2612"/>
      <c r="T1" s="2612" t="s">
        <v>2096</v>
      </c>
      <c r="U1" s="2612"/>
      <c r="V1" s="2612"/>
      <c r="W1" s="2612"/>
      <c r="X1" s="2612"/>
      <c r="Y1" s="1006"/>
      <c r="Z1" s="2612" t="s">
        <v>2099</v>
      </c>
      <c r="AA1" s="2612"/>
      <c r="AB1" s="2612"/>
      <c r="AC1" s="2612"/>
      <c r="AD1" s="2612"/>
    </row>
    <row customHeight="1" ht="18">
      <c r="A2" s="853"/>
      <c r="B2" s="853"/>
      <c r="C2" s="848" t="s">
        <v>854</v>
      </c>
      <c r="D2" s="848" t="s">
        <v>900</v>
      </c>
      <c r="E2" s="848" t="s">
        <v>954</v>
      </c>
      <c r="F2" s="848" t="s">
        <v>941</v>
      </c>
      <c r="G2" s="848" t="s">
        <v>1708</v>
      </c>
      <c r="H2" s="850"/>
      <c r="I2" s="850"/>
      <c r="J2" s="850"/>
      <c r="K2" s="850"/>
      <c r="L2" s="850"/>
      <c r="M2" s="850"/>
      <c r="N2" s="850"/>
      <c r="O2" s="848" t="s">
        <v>854</v>
      </c>
      <c r="P2" s="848" t="s">
        <v>900</v>
      </c>
      <c r="Q2" s="848" t="s">
        <v>941</v>
      </c>
      <c r="R2" s="848" t="s">
        <v>954</v>
      </c>
      <c r="S2" s="848" t="s">
        <v>1708</v>
      </c>
      <c r="T2" s="848" t="s">
        <v>854</v>
      </c>
      <c r="U2" s="848" t="s">
        <v>900</v>
      </c>
      <c r="V2" s="848" t="s">
        <v>941</v>
      </c>
      <c r="W2" s="848" t="s">
        <v>954</v>
      </c>
      <c r="X2" s="848" t="s">
        <v>1708</v>
      </c>
      <c r="Y2" s="848"/>
      <c r="Z2" s="848" t="s">
        <v>854</v>
      </c>
      <c r="AA2" s="857" t="s">
        <v>900</v>
      </c>
      <c r="AB2" s="848" t="s">
        <v>941</v>
      </c>
      <c r="AC2" s="848" t="s">
        <v>954</v>
      </c>
      <c r="AD2" s="848" t="s">
        <v>1708</v>
      </c>
    </row>
    <row customHeight="1" ht="162">
      <c r="A3" s="852" t="s">
        <v>27</v>
      </c>
      <c r="B3" s="852"/>
      <c r="C3" s="2616" t="s">
        <v>2100</v>
      </c>
      <c r="D3" s="2617"/>
      <c r="E3" s="2617"/>
      <c r="F3" s="2618"/>
      <c r="G3" s="850"/>
      <c r="H3" s="850"/>
      <c r="I3" s="850"/>
      <c r="J3" s="850"/>
      <c r="K3" s="850"/>
      <c r="L3" s="850"/>
      <c r="M3" s="850"/>
      <c r="N3" s="85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0"/>
      <c r="P3" s="850"/>
      <c r="Q3" s="850"/>
      <c r="R3" s="850"/>
      <c r="S3" s="850"/>
      <c r="T3" s="850"/>
      <c r="U3" s="850"/>
      <c r="V3" s="850"/>
      <c r="W3" s="850"/>
      <c r="X3" s="850"/>
      <c r="Y3" s="1007"/>
      <c r="Z3" s="853" t="s">
        <v>2101</v>
      </c>
      <c r="AA3" s="850" t="s">
        <v>2102</v>
      </c>
      <c r="AB3" s="853" t="s">
        <v>2103</v>
      </c>
      <c r="AC3" s="853" t="s">
        <v>2104</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13" t="s">
        <v>33</v>
      </c>
      <c r="B11" s="906">
        <v>1</v>
      </c>
      <c r="C11" s="2619" t="s">
        <v>1647</v>
      </c>
      <c r="D11" s="2619" t="s">
        <v>1643</v>
      </c>
      <c r="E11" s="2619" t="s">
        <v>1741</v>
      </c>
      <c r="F11" s="2619" t="s">
        <v>2105</v>
      </c>
      <c r="G11" s="2619"/>
      <c r="H11" s="905" t="s">
        <v>2106</v>
      </c>
      <c r="I11" s="905"/>
      <c r="J11" s="905"/>
      <c r="K11" s="905"/>
      <c r="L11" s="905"/>
      <c r="M11" s="851" t="str">
        <f>IF(TEMPLATE_SPHERE="HEAT",T11,U11)</f>
        <v>Количество поданных заявлений </v>
      </c>
      <c r="N11" s="85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0"/>
      <c r="P11" s="850"/>
      <c r="Q11" s="850"/>
      <c r="R11" s="850"/>
      <c r="S11" s="850"/>
      <c r="T11" s="850" t="s">
        <v>2107</v>
      </c>
      <c r="U11" s="850" t="s">
        <v>2108</v>
      </c>
      <c r="V11" s="850"/>
      <c r="W11" s="850"/>
      <c r="X11" s="850"/>
      <c r="Y11" s="1007"/>
      <c r="Z11" s="853" t="s">
        <v>2109</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3"/>
      <c r="AC11" s="853"/>
      <c r="AD11" s="853"/>
    </row>
    <row customHeight="1" ht="45">
      <c r="A12" s="2613"/>
      <c r="B12" s="906">
        <v>2</v>
      </c>
      <c r="C12" s="2620"/>
      <c r="D12" s="2620"/>
      <c r="E12" s="2620"/>
      <c r="F12" s="2620"/>
      <c r="G12" s="2620"/>
      <c r="H12" s="905" t="s">
        <v>2110</v>
      </c>
      <c r="I12" s="905"/>
      <c r="J12" s="905"/>
      <c r="K12" s="905"/>
      <c r="L12" s="905"/>
      <c r="M12" s="851" t="str">
        <f>IF(TEMPLATE_SPHERE="HEAT",T12,U12)</f>
        <v>Количество исполненных заявлений </v>
      </c>
      <c r="N12" s="85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0"/>
      <c r="P12" s="850"/>
      <c r="Q12" s="850"/>
      <c r="R12" s="850"/>
      <c r="S12" s="850"/>
      <c r="T12" s="850" t="s">
        <v>2111</v>
      </c>
      <c r="U12" s="850" t="s">
        <v>2112</v>
      </c>
      <c r="V12" s="850"/>
      <c r="W12" s="850"/>
      <c r="X12" s="850"/>
      <c r="Y12" s="1007"/>
      <c r="Z12" s="853" t="s">
        <v>2113</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3"/>
      <c r="AC12" s="853"/>
      <c r="AD12" s="853"/>
    </row>
    <row customHeight="1" ht="72">
      <c r="A13" s="2613"/>
      <c r="B13" s="906">
        <v>3</v>
      </c>
      <c r="C13" s="2620"/>
      <c r="D13" s="2620"/>
      <c r="E13" s="2620"/>
      <c r="F13" s="2620"/>
      <c r="G13" s="2620"/>
      <c r="H13" s="2612" t="s">
        <v>2114</v>
      </c>
      <c r="I13" s="905"/>
      <c r="J13" s="905"/>
      <c r="K13" s="905"/>
      <c r="L13" s="905"/>
      <c r="M13" s="85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0"/>
      <c r="P13" s="851"/>
      <c r="Q13" s="851"/>
      <c r="R13" s="851"/>
      <c r="S13" s="850"/>
      <c r="T13" s="850" t="s">
        <v>2115</v>
      </c>
      <c r="U13" s="851" t="s">
        <v>2116</v>
      </c>
      <c r="V13" s="851"/>
      <c r="W13" s="851"/>
      <c r="X13" s="850"/>
      <c r="Y13" s="1007"/>
      <c r="Z13" s="853" t="s">
        <v>2117</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3"/>
      <c r="AC13" s="853"/>
      <c r="AD13" s="853"/>
    </row>
    <row customHeight="1" ht="45">
      <c r="A14" s="2613"/>
      <c r="B14" s="906">
        <v>4</v>
      </c>
      <c r="C14" s="2620"/>
      <c r="D14" s="2620"/>
      <c r="E14" s="2620"/>
      <c r="F14" s="2620"/>
      <c r="G14" s="2620"/>
      <c r="H14" s="2612"/>
      <c r="I14" s="908"/>
      <c r="J14" s="908"/>
      <c r="K14" s="908"/>
      <c r="L14" s="908"/>
      <c r="M14" s="85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2118</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1"/>
      <c r="W14" s="851"/>
      <c r="X14" s="850"/>
      <c r="Y14" s="1007"/>
      <c r="Z14" s="853" t="s">
        <v>2119</v>
      </c>
      <c r="AA14" s="856" t="s">
        <v>2119</v>
      </c>
      <c r="AB14" s="853"/>
      <c r="AC14" s="853"/>
      <c r="AD14" s="853"/>
    </row>
    <row customHeight="1" ht="108">
      <c r="A15" s="2613"/>
      <c r="B15" s="906">
        <v>5</v>
      </c>
      <c r="C15" s="2620"/>
      <c r="D15" s="2620"/>
      <c r="E15" s="2620"/>
      <c r="F15" s="2620"/>
      <c r="G15" s="2620"/>
      <c r="H15" s="2614" t="s">
        <v>2120</v>
      </c>
      <c r="I15" s="907"/>
      <c r="J15" s="907"/>
      <c r="K15" s="907"/>
      <c r="L15" s="907"/>
      <c r="M15" s="85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5"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0"/>
      <c r="P15" s="851"/>
      <c r="Q15" s="851"/>
      <c r="R15" s="851"/>
      <c r="S15" s="850"/>
      <c r="T15" s="850" t="s">
        <v>2121</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1"/>
      <c r="W15" s="851"/>
      <c r="X15" s="850"/>
      <c r="Y15" s="1007"/>
      <c r="Z15" s="853" t="s">
        <v>2122</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3"/>
      <c r="AC15" s="853"/>
      <c r="AD15" s="853"/>
    </row>
    <row customHeight="1" ht="108">
      <c r="A16" s="906"/>
      <c r="B16" s="906">
        <v>6</v>
      </c>
      <c r="C16" s="2621"/>
      <c r="D16" s="2621"/>
      <c r="E16" s="2621"/>
      <c r="F16" s="2621"/>
      <c r="G16" s="2621"/>
      <c r="H16" s="2615"/>
      <c r="I16" s="969"/>
      <c r="J16" s="969"/>
      <c r="K16" s="969"/>
      <c r="L16" s="969"/>
      <c r="M16" s="899"/>
      <c r="N16" s="855"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0"/>
      <c r="P16" s="851"/>
      <c r="Q16" s="851"/>
      <c r="R16" s="851"/>
      <c r="S16" s="850"/>
      <c r="T16" s="850"/>
      <c r="U16" s="851"/>
      <c r="V16" s="851"/>
      <c r="W16" s="851"/>
      <c r="X16" s="850"/>
      <c r="Y16" s="1007"/>
      <c r="Z16" s="853" t="s">
        <v>2122</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1744</v>
      </c>
      <c r="B18" s="906">
        <v>1</v>
      </c>
      <c r="C18" s="850" t="s">
        <v>2106</v>
      </c>
      <c r="D18" s="974" t="s">
        <v>2106</v>
      </c>
      <c r="E18" s="850" t="s">
        <v>2106</v>
      </c>
      <c r="F18" s="850" t="s">
        <v>2106</v>
      </c>
      <c r="G18" s="850"/>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холодного водоснабжения</v>
      </c>
      <c r="K18" s="1012" t="str">
        <f>INDEX(TEMPLATE_NOTE_POINT_FHD,B18,MATCH(TEMPLATE_SPHERE,TEMPLATE_SPHERE_LIST_FOR_NOTE,0))</f>
        <v>Указывается выручка с распределением по видам деятельности.</v>
      </c>
      <c r="L18" s="851">
        <f>IF(I18=0,"",I18)</f>
        <v>1</v>
      </c>
      <c r="M18" s="851" t="str">
        <f>IF(J18=0,"",J18)</f>
        <v>Выручка от регулируемых видов деятельности в сфере холодного водоснабжения</v>
      </c>
      <c r="N18" s="851" t="str">
        <f>IF(K18=0,"",K18)</f>
        <v>Указывается выручка с распределением по видам деятельности.</v>
      </c>
      <c r="O18" s="964">
        <v>1</v>
      </c>
      <c r="P18" s="964">
        <v>1</v>
      </c>
      <c r="Q18" s="964">
        <v>1</v>
      </c>
      <c r="R18" s="964">
        <v>1</v>
      </c>
      <c r="S18" s="964"/>
      <c r="T18" s="971" t="s">
        <v>2123</v>
      </c>
      <c r="U18" s="853" t="s">
        <v>2124</v>
      </c>
      <c r="V18" s="853" t="s">
        <v>2125</v>
      </c>
      <c r="W18" s="853" t="s">
        <v>2126</v>
      </c>
      <c r="X18" s="850"/>
      <c r="Y18" s="1007"/>
      <c r="Z18" s="853" t="s">
        <v>2127</v>
      </c>
      <c r="AA18" s="856" t="s">
        <v>2128</v>
      </c>
      <c r="AB18" s="856" t="s">
        <v>2128</v>
      </c>
      <c r="AC18" s="856" t="s">
        <v>2128</v>
      </c>
      <c r="AD18" s="853"/>
    </row>
    <row customHeight="1" ht="36">
      <c r="A19" s="852"/>
      <c r="B19" s="906">
        <v>2</v>
      </c>
      <c r="C19" s="850" t="s">
        <v>2110</v>
      </c>
      <c r="D19" s="974" t="s">
        <v>2110</v>
      </c>
      <c r="E19" s="850" t="s">
        <v>2110</v>
      </c>
      <c r="F19" s="850" t="s">
        <v>2110</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регулируемым видам деятельности в сфере холодного водоснабжения, включая:</v>
      </c>
      <c r="N19" s="851" t="str">
        <f>IF(K19=0,"",K19)</f>
        <v>Указывается суммарная себестоимость производимых товаров.</v>
      </c>
      <c r="O19" s="964">
        <v>2</v>
      </c>
      <c r="P19" s="964">
        <v>2</v>
      </c>
      <c r="Q19" s="964">
        <v>2</v>
      </c>
      <c r="R19" s="964">
        <v>2</v>
      </c>
      <c r="S19" s="964"/>
      <c r="T19" s="971" t="s">
        <v>2129</v>
      </c>
      <c r="U19" s="853" t="s">
        <v>2130</v>
      </c>
      <c r="V19" s="853" t="s">
        <v>2131</v>
      </c>
      <c r="W19" s="853" t="s">
        <v>2132</v>
      </c>
      <c r="X19" s="850"/>
      <c r="Y19" s="1007"/>
      <c r="Z19" s="853" t="s">
        <v>2133</v>
      </c>
      <c r="AA19" s="856" t="s">
        <v>2133</v>
      </c>
      <c r="AB19" s="856" t="s">
        <v>2133</v>
      </c>
      <c r="AC19" s="856" t="s">
        <v>2133</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2">
        <f>INDEX(TEMPLATE_NOTE_POINT_FHD,B20,MATCH(TEMPLATE_SPHERE,TEMPLATE_SPHERE_LIST_FOR_NOTE,0))</f>
        <v>0</v>
      </c>
      <c r="L20" s="851" t="str">
        <f>IF(I20=0,"",I20)</f>
        <v>2.1</v>
      </c>
      <c r="M20" s="851" t="str">
        <f>IF(J20=0,"",J20)</f>
        <v>Расходы на оплату холодной воды, приобретаемой у других организаций для последующей подачи потребителям</v>
      </c>
      <c r="N20" s="851" t="str">
        <f>IF(K20=0,"",K20)</f>
        <v/>
      </c>
      <c r="O20" s="964" t="s">
        <v>737</v>
      </c>
      <c r="P20" s="964" t="s">
        <v>737</v>
      </c>
      <c r="Q20" s="964" t="s">
        <v>737</v>
      </c>
      <c r="R20" s="964" t="s">
        <v>737</v>
      </c>
      <c r="S20" s="964"/>
      <c r="T20" s="971" t="s">
        <v>2134</v>
      </c>
      <c r="U20" s="853" t="s">
        <v>2135</v>
      </c>
      <c r="V20" s="853" t="s">
        <v>2136</v>
      </c>
      <c r="W20" s="853" t="s">
        <v>2137</v>
      </c>
      <c r="X20" s="850"/>
      <c r="Y20" s="1007"/>
      <c r="Z20" s="853"/>
      <c r="AA20" s="856"/>
      <c r="AB20" s="853"/>
      <c r="AC20" s="853"/>
      <c r="AD20" s="853"/>
    </row>
    <row customHeight="1" ht="36">
      <c r="A21" s="852"/>
      <c r="B21" s="906">
        <v>4</v>
      </c>
      <c r="C21" s="850">
        <v>2</v>
      </c>
      <c r="D21" s="974"/>
      <c r="E21" s="850"/>
      <c r="F21" s="850"/>
      <c r="G21" s="850"/>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1" t="str">
        <f>IF(I21=0,"",I21)</f>
        <v/>
      </c>
      <c r="M21" s="851" t="str">
        <f>IF(J21=0,"",J21)</f>
        <v/>
      </c>
      <c r="N21" s="851" t="str">
        <f>IF(K21=0,"",K21)</f>
        <v/>
      </c>
      <c r="O21" s="964" t="s">
        <v>306</v>
      </c>
      <c r="P21" s="964"/>
      <c r="Q21" s="964"/>
      <c r="R21" s="964"/>
      <c r="S21" s="964"/>
      <c r="T21" s="971" t="s">
        <v>2138</v>
      </c>
      <c r="U21" s="853"/>
      <c r="V21" s="853"/>
      <c r="W21" s="853"/>
      <c r="X21" s="850"/>
      <c r="Y21" s="1007"/>
      <c r="Z21" s="853" t="s">
        <v>2139</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306</v>
      </c>
      <c r="R22" s="964"/>
      <c r="S22" s="964"/>
      <c r="T22" s="971"/>
      <c r="U22" s="853"/>
      <c r="V22" s="853" t="s">
        <v>2140</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309</v>
      </c>
      <c r="R23" s="964"/>
      <c r="S23" s="964"/>
      <c r="T23" s="971"/>
      <c r="U23" s="853"/>
      <c r="V23" s="853" t="s">
        <v>2141</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757</v>
      </c>
      <c r="R24" s="964"/>
      <c r="S24" s="964"/>
      <c r="T24" s="971"/>
      <c r="U24" s="853"/>
      <c r="V24" s="853" t="s">
        <v>2142</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2.2</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2.2</v>
      </c>
      <c r="M25" s="851" t="str">
        <f>IF(J25=0,"",J25)</f>
        <v>Расходы на приобретаемую электрическую энергию (мощность), используемую в технологическом процессе</v>
      </c>
      <c r="N25" s="851" t="str">
        <f>IF(K25=0,"",K25)</f>
        <v/>
      </c>
      <c r="O25" s="964" t="s">
        <v>309</v>
      </c>
      <c r="P25" s="964" t="s">
        <v>306</v>
      </c>
      <c r="Q25" s="964" t="s">
        <v>764</v>
      </c>
      <c r="R25" s="964" t="s">
        <v>306</v>
      </c>
      <c r="S25" s="964"/>
      <c r="T25" s="971" t="s">
        <v>2143</v>
      </c>
      <c r="U25" s="853" t="s">
        <v>2143</v>
      </c>
      <c r="V25" s="853" t="s">
        <v>2143</v>
      </c>
      <c r="W25" s="853" t="s">
        <v>2143</v>
      </c>
      <c r="X25" s="850"/>
      <c r="Y25" s="1007"/>
      <c r="Z25" s="853"/>
      <c r="AA25" s="856"/>
      <c r="AB25" s="853"/>
      <c r="AC25" s="853"/>
      <c r="AD25" s="853"/>
    </row>
    <row customHeight="1" ht="18">
      <c r="A26" s="852"/>
      <c r="B26" s="906">
        <v>9</v>
      </c>
      <c r="C26" s="850" t="s">
        <v>681</v>
      </c>
      <c r="D26" s="974"/>
      <c r="E26" s="850"/>
      <c r="F26" s="850"/>
      <c r="G26" s="898"/>
      <c r="H26" s="965"/>
      <c r="I26" s="1012" t="str">
        <f>INDEX(TEMPLATE_NUMBER_POINT_FHD,B26,MATCH(TEMPLATE_SPHERE,TEMPLATE_SPHERE_LIST_FOR_NOTE,0))</f>
        <v>2.2.1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2.2.1</v>
      </c>
      <c r="M26" s="851" t="str">
        <f>IF(J26=0,"",J26)</f>
        <v>Средневзвешенная стоимость 1 кВт.ч (с учетом мощности)</v>
      </c>
      <c r="N26" s="851" t="str">
        <f>IF(K26=0,"",K26)</f>
        <v/>
      </c>
      <c r="O26" s="964" t="s">
        <v>753</v>
      </c>
      <c r="P26" s="964" t="s">
        <v>747</v>
      </c>
      <c r="Q26" s="964" t="s">
        <v>2144</v>
      </c>
      <c r="R26" s="964" t="s">
        <v>747</v>
      </c>
      <c r="S26" s="964"/>
      <c r="T26" s="971" t="str">
        <f>"Средневзвешенная стоимость 1 кВт.ч"&amp;IF(TITLE_TYPE_ORG="Регулируемая организация"," (с учетом мощности)","")</f>
        <v>Средневзвешенная стоимость 1 кВт.ч</v>
      </c>
      <c r="U26" s="971" t="s">
        <v>2145</v>
      </c>
      <c r="V26" s="971" t="s">
        <v>2145</v>
      </c>
      <c r="W26" s="971" t="s">
        <v>2145</v>
      </c>
      <c r="X26" s="850"/>
      <c r="Y26" s="1007"/>
      <c r="Z26" s="853"/>
      <c r="AA26" s="856"/>
      <c r="AB26" s="853"/>
      <c r="AC26" s="853"/>
      <c r="AD26" s="853"/>
    </row>
    <row customHeight="1" ht="18">
      <c r="A27" s="852"/>
      <c r="B27" s="906">
        <v>10</v>
      </c>
      <c r="C27" s="850" t="s">
        <v>685</v>
      </c>
      <c r="D27" s="974"/>
      <c r="E27" s="850"/>
      <c r="F27" s="850"/>
      <c r="G27" s="898"/>
      <c r="H27" s="965"/>
      <c r="I27" s="1012" t="str">
        <f>INDEX(TEMPLATE_NUMBER_POINT_FHD,B27,MATCH(TEMPLATE_SPHERE,TEMPLATE_SPHERE_LIST_FOR_NOTE,0))</f>
        <v>2.2.2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2.2.2</v>
      </c>
      <c r="M27" s="851" t="str">
        <f>IF(J27=0,"",J27)</f>
        <v>Объём приобретения электрической энергии</v>
      </c>
      <c r="N27" s="851" t="str">
        <f>IF(K27=0,"",K27)</f>
        <v/>
      </c>
      <c r="O27" s="964" t="s">
        <v>755</v>
      </c>
      <c r="P27" s="964" t="s">
        <v>749</v>
      </c>
      <c r="Q27" s="964" t="s">
        <v>2146</v>
      </c>
      <c r="R27" s="964" t="s">
        <v>749</v>
      </c>
      <c r="S27" s="964"/>
      <c r="T27" s="971" t="s">
        <v>2147</v>
      </c>
      <c r="U27" s="971" t="s">
        <v>2147</v>
      </c>
      <c r="V27" s="971" t="s">
        <v>2147</v>
      </c>
      <c r="W27" s="971" t="s">
        <v>2147</v>
      </c>
      <c r="X27" s="850"/>
      <c r="Y27" s="1007"/>
      <c r="Z27" s="853"/>
      <c r="AA27" s="856"/>
      <c r="AB27" s="853"/>
      <c r="AC27" s="853"/>
      <c r="AD27" s="853"/>
    </row>
    <row customHeight="1" ht="27">
      <c r="A28" s="852"/>
      <c r="B28" s="906">
        <v>11</v>
      </c>
      <c r="C28" s="850">
        <v>7</v>
      </c>
      <c r="D28" s="974"/>
      <c r="E28" s="850"/>
      <c r="F28" s="850"/>
      <c r="G28" s="898"/>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1" t="str">
        <f>IF(I28=0,"",I28)</f>
        <v/>
      </c>
      <c r="M28" s="851" t="str">
        <f>IF(J28=0,"",J28)</f>
        <v/>
      </c>
      <c r="N28" s="851" t="str">
        <f>IF(K28=0,"",K28)</f>
        <v/>
      </c>
      <c r="O28" s="964" t="s">
        <v>757</v>
      </c>
      <c r="P28" s="964"/>
      <c r="Q28" s="964"/>
      <c r="R28" s="964"/>
      <c r="S28" s="964"/>
      <c r="T28" s="971" t="s">
        <v>2148</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2.3</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2.3</v>
      </c>
      <c r="M29" s="851" t="str">
        <f>IF(J29=0,"",J29)</f>
        <v>Расходы на химические реагенты, используемые в технологическом процессе</v>
      </c>
      <c r="N29" s="851" t="str">
        <f>IF(K29=0,"",K29)</f>
        <v/>
      </c>
      <c r="O29" s="964" t="s">
        <v>764</v>
      </c>
      <c r="P29" s="964" t="s">
        <v>309</v>
      </c>
      <c r="Q29" s="964"/>
      <c r="R29" s="964" t="s">
        <v>309</v>
      </c>
      <c r="S29" s="964"/>
      <c r="T29" s="97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3" t="s">
        <v>2149</v>
      </c>
      <c r="V29" s="853"/>
      <c r="W29" s="853" t="s">
        <v>2149</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2.4</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1" t="str">
        <f>IF(I30=0,"",I30)</f>
        <v>2.4</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Указывается общая сумма расходов на оплату труда и отчислений на социальные нужды основного производственного персонала.</v>
      </c>
      <c r="O30" s="964" t="s">
        <v>766</v>
      </c>
      <c r="P30" s="964" t="s">
        <v>757</v>
      </c>
      <c r="Q30" s="964" t="s">
        <v>766</v>
      </c>
      <c r="R30" s="964" t="s">
        <v>757</v>
      </c>
      <c r="S30" s="964"/>
      <c r="T30" s="971" t="s">
        <v>2150</v>
      </c>
      <c r="U30" s="853" t="s">
        <v>2150</v>
      </c>
      <c r="V30" s="853" t="s">
        <v>2150</v>
      </c>
      <c r="W30" s="853" t="s">
        <v>2150</v>
      </c>
      <c r="X30" s="850"/>
      <c r="Y30" s="1007"/>
      <c r="Z30" s="853"/>
      <c r="AA30" s="856" t="s">
        <v>2151</v>
      </c>
      <c r="AB30" s="856" t="s">
        <v>2151</v>
      </c>
      <c r="AC30" s="856" t="s">
        <v>2151</v>
      </c>
      <c r="AD30" s="853"/>
    </row>
    <row customHeight="1" ht="18">
      <c r="A31" s="852"/>
      <c r="B31" s="906">
        <v>14</v>
      </c>
      <c r="C31" s="850" t="s">
        <v>2152</v>
      </c>
      <c r="D31" s="974"/>
      <c r="E31" s="850"/>
      <c r="F31" s="850"/>
      <c r="G31" s="898"/>
      <c r="H31" s="965"/>
      <c r="I31" s="1012" t="str">
        <f>INDEX(TEMPLATE_NUMBER_POINT_FHD,B31,MATCH(TEMPLATE_SPHERE,TEMPLATE_SPHERE_LIST_FOR_NOTE,0))</f>
        <v>2.4.1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2.4.1</v>
      </c>
      <c r="M31" s="851" t="str">
        <f>IF(J31=0,"",J31)</f>
        <v>Расходы на оплату труда основного производственного персонала</v>
      </c>
      <c r="N31" s="851" t="str">
        <f>IF(K31=0,"",K31)</f>
        <v/>
      </c>
      <c r="O31" s="964" t="s">
        <v>2153</v>
      </c>
      <c r="P31" s="964" t="s">
        <v>760</v>
      </c>
      <c r="Q31" s="964" t="s">
        <v>2153</v>
      </c>
      <c r="R31" s="964" t="s">
        <v>760</v>
      </c>
      <c r="S31" s="964"/>
      <c r="T31" s="972" t="s">
        <v>2154</v>
      </c>
      <c r="U31" s="853" t="s">
        <v>2154</v>
      </c>
      <c r="V31" s="853" t="s">
        <v>2154</v>
      </c>
      <c r="W31" s="853" t="s">
        <v>2154</v>
      </c>
      <c r="X31" s="850"/>
      <c r="Y31" s="1007"/>
      <c r="Z31" s="853"/>
      <c r="AA31" s="856"/>
      <c r="AB31" s="856"/>
      <c r="AC31" s="856"/>
      <c r="AD31" s="853"/>
    </row>
    <row customHeight="1" ht="36">
      <c r="A32" s="852"/>
      <c r="B32" s="906">
        <v>15</v>
      </c>
      <c r="C32" s="850" t="s">
        <v>2155</v>
      </c>
      <c r="D32" s="974"/>
      <c r="E32" s="850"/>
      <c r="F32" s="850"/>
      <c r="G32" s="898"/>
      <c r="H32" s="965"/>
      <c r="I32" s="1012" t="str">
        <f>INDEX(TEMPLATE_NUMBER_POINT_FHD,B32,MATCH(TEMPLATE_SPHERE,TEMPLATE_SPHERE_LIST_FOR_NOTE,0))</f>
        <v>2.4.2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2.4.2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2156</v>
      </c>
      <c r="P32" s="964" t="s">
        <v>762</v>
      </c>
      <c r="Q32" s="964" t="s">
        <v>2156</v>
      </c>
      <c r="R32" s="964" t="s">
        <v>762</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3" t="s">
        <v>2157</v>
      </c>
      <c r="V32" s="853" t="s">
        <v>2157</v>
      </c>
      <c r="W32" s="853" t="s">
        <v>2157</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2.5</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1" t="str">
        <f>IF(I33=0,"",I33)</f>
        <v>2.5</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Указывается общая сумма расходов на оплату труда и отчислений на социальные нужды административно-управленческого персонала.</v>
      </c>
      <c r="O33" s="964" t="s">
        <v>768</v>
      </c>
      <c r="P33" s="964" t="s">
        <v>764</v>
      </c>
      <c r="Q33" s="964" t="s">
        <v>768</v>
      </c>
      <c r="R33" s="964" t="s">
        <v>764</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3" t="s">
        <v>2158</v>
      </c>
      <c r="V33" s="853" t="s">
        <v>2158</v>
      </c>
      <c r="W33" s="853" t="s">
        <v>2159</v>
      </c>
      <c r="X33" s="850"/>
      <c r="Y33" s="1007"/>
      <c r="Z33" s="853"/>
      <c r="AA33" s="856" t="s">
        <v>2160</v>
      </c>
      <c r="AB33" s="856" t="s">
        <v>2160</v>
      </c>
      <c r="AC33" s="856" t="s">
        <v>2160</v>
      </c>
      <c r="AD33" s="853"/>
    </row>
    <row customHeight="1" ht="27">
      <c r="A34" s="852"/>
      <c r="B34" s="906">
        <v>17</v>
      </c>
      <c r="C34" s="850" t="s">
        <v>2161</v>
      </c>
      <c r="D34" s="974"/>
      <c r="E34" s="850"/>
      <c r="F34" s="850"/>
      <c r="G34" s="898"/>
      <c r="H34" s="965"/>
      <c r="I34" s="1012" t="str">
        <f>INDEX(TEMPLATE_NUMBER_POINT_FHD,B34,MATCH(TEMPLATE_SPHERE,TEMPLATE_SPHERE_LIST_FOR_NOTE,0))</f>
        <v>2.5.1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2.5.1</v>
      </c>
      <c r="M34" s="851" t="str">
        <f>IF(J34=0,"",J34)</f>
        <v>Расходы на оплату труда административно-управленческого персонала</v>
      </c>
      <c r="N34" s="851" t="str">
        <f>IF(K34=0,"",K34)</f>
        <v/>
      </c>
      <c r="O34" s="964" t="s">
        <v>2162</v>
      </c>
      <c r="P34" s="964" t="s">
        <v>2144</v>
      </c>
      <c r="Q34" s="964" t="s">
        <v>2162</v>
      </c>
      <c r="R34" s="964" t="s">
        <v>2144</v>
      </c>
      <c r="S34" s="964"/>
      <c r="T34" s="973" t="s">
        <v>2163</v>
      </c>
      <c r="U34" s="853" t="s">
        <v>2163</v>
      </c>
      <c r="V34" s="853" t="s">
        <v>2163</v>
      </c>
      <c r="W34" s="853" t="s">
        <v>2164</v>
      </c>
      <c r="X34" s="850"/>
      <c r="Y34" s="1007"/>
      <c r="Z34" s="853"/>
      <c r="AA34" s="856"/>
      <c r="AB34" s="853"/>
      <c r="AC34" s="853"/>
      <c r="AD34" s="853"/>
    </row>
    <row customHeight="1" ht="45">
      <c r="A35" s="852"/>
      <c r="B35" s="906">
        <v>18</v>
      </c>
      <c r="C35" s="850" t="s">
        <v>2165</v>
      </c>
      <c r="D35" s="974"/>
      <c r="E35" s="850"/>
      <c r="F35" s="850"/>
      <c r="G35" s="898"/>
      <c r="H35" s="965"/>
      <c r="I35" s="1012" t="str">
        <f>INDEX(TEMPLATE_NUMBER_POINT_FHD,B35,MATCH(TEMPLATE_SPHERE,TEMPLATE_SPHERE_LIST_FOR_NOTE,0))</f>
        <v>2.5.2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2.5.2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2166</v>
      </c>
      <c r="P35" s="964" t="s">
        <v>2146</v>
      </c>
      <c r="Q35" s="964" t="s">
        <v>2166</v>
      </c>
      <c r="R35" s="964" t="s">
        <v>2146</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3" t="s">
        <v>2167</v>
      </c>
      <c r="V35" s="853" t="s">
        <v>2167</v>
      </c>
      <c r="W35" s="853" t="s">
        <v>2167</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2.6</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2.6</v>
      </c>
      <c r="M36" s="851" t="str">
        <f>IF(J36=0,"",J36)</f>
        <v>Расходы на амортизацию основных средств и нематериальных активов</v>
      </c>
      <c r="N36" s="851" t="str">
        <f>IF(K36=0,"",K36)</f>
        <v/>
      </c>
      <c r="O36" s="964" t="s">
        <v>770</v>
      </c>
      <c r="P36" s="964" t="s">
        <v>766</v>
      </c>
      <c r="Q36" s="964" t="s">
        <v>770</v>
      </c>
      <c r="R36" s="964" t="s">
        <v>766</v>
      </c>
      <c r="S36" s="964"/>
      <c r="T36" s="971" t="s">
        <v>2168</v>
      </c>
      <c r="U36" s="853" t="s">
        <v>2168</v>
      </c>
      <c r="V36" s="853" t="s">
        <v>2168</v>
      </c>
      <c r="W36" s="853" t="s">
        <v>2168</v>
      </c>
      <c r="X36" s="850"/>
      <c r="Y36" s="1007"/>
      <c r="Z36" s="853"/>
      <c r="AA36" s="856"/>
      <c r="AB36" s="853"/>
      <c r="AC36" s="853"/>
      <c r="AD36" s="853"/>
    </row>
    <row customHeight="1" ht="18">
      <c r="A37" s="852"/>
      <c r="B37" s="906">
        <v>20</v>
      </c>
      <c r="C37" s="850" t="s">
        <v>2169</v>
      </c>
      <c r="D37" s="974"/>
      <c r="E37" s="850"/>
      <c r="F37" s="850"/>
      <c r="G37" s="898"/>
      <c r="H37" s="965"/>
      <c r="I37" s="1012" t="str">
        <f>INDEX(TEMPLATE_NUMBER_POINT_FHD,B37,MATCH(TEMPLATE_SPHERE,TEMPLATE_SPHERE_LIST_FOR_NOTE,0))</f>
        <v>2.6.1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2.6.1</v>
      </c>
      <c r="M37" s="851" t="str">
        <f>IF(J37=0,"",J37)</f>
        <v>Расходы на амортизацию основных средств</v>
      </c>
      <c r="N37" s="851" t="str">
        <f>IF(K37=0,"",K37)</f>
        <v/>
      </c>
      <c r="O37" s="964" t="s">
        <v>2170</v>
      </c>
      <c r="P37" s="964" t="s">
        <v>2153</v>
      </c>
      <c r="Q37" s="964" t="s">
        <v>2170</v>
      </c>
      <c r="R37" s="964" t="s">
        <v>2153</v>
      </c>
      <c r="S37" s="964"/>
      <c r="T37" s="971" t="s">
        <v>2171</v>
      </c>
      <c r="U37" s="853" t="s">
        <v>2171</v>
      </c>
      <c r="V37" s="853" t="s">
        <v>2171</v>
      </c>
      <c r="W37" s="853" t="s">
        <v>2171</v>
      </c>
      <c r="X37" s="850"/>
      <c r="Y37" s="1007"/>
      <c r="Z37" s="853"/>
      <c r="AA37" s="856"/>
      <c r="AB37" s="853"/>
      <c r="AC37" s="853"/>
      <c r="AD37" s="853"/>
    </row>
    <row customHeight="1" ht="18">
      <c r="A38" s="852"/>
      <c r="B38" s="906">
        <v>21</v>
      </c>
      <c r="C38" s="850" t="s">
        <v>2172</v>
      </c>
      <c r="D38" s="974"/>
      <c r="E38" s="850"/>
      <c r="F38" s="850"/>
      <c r="G38" s="898"/>
      <c r="H38" s="965"/>
      <c r="I38" s="1012" t="str">
        <f>INDEX(TEMPLATE_NUMBER_POINT_FHD,B38,MATCH(TEMPLATE_SPHERE,TEMPLATE_SPHERE_LIST_FOR_NOTE,0))</f>
        <v>2.6.2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2.6.2</v>
      </c>
      <c r="M38" s="851" t="str">
        <f>IF(J38=0,"",J38)</f>
        <v>Расходы на амортизацию нематериальных активов</v>
      </c>
      <c r="N38" s="851" t="str">
        <f>IF(K38=0,"",K38)</f>
        <v/>
      </c>
      <c r="O38" s="964" t="s">
        <v>2173</v>
      </c>
      <c r="P38" s="964" t="s">
        <v>2156</v>
      </c>
      <c r="Q38" s="964" t="s">
        <v>2173</v>
      </c>
      <c r="R38" s="964" t="s">
        <v>2156</v>
      </c>
      <c r="S38" s="964"/>
      <c r="T38" s="971" t="s">
        <v>2174</v>
      </c>
      <c r="U38" s="853" t="s">
        <v>2174</v>
      </c>
      <c r="V38" s="853" t="s">
        <v>2174</v>
      </c>
      <c r="W38" s="853" t="s">
        <v>2174</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2.7</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2">
        <f>INDEX(TEMPLATE_NOTE_POINT_FHD,B39,MATCH(TEMPLATE_SPHERE,TEMPLATE_SPHERE_LIST_FOR_NOTE,0))</f>
        <v>0</v>
      </c>
      <c r="L39" s="851" t="str">
        <f>IF(I39=0,"",I39)</f>
        <v>2.7</v>
      </c>
      <c r="M39" s="851" t="str">
        <f>IF(J39=0,"",J39)</f>
        <v>Расходы на аренду имущества, используемого для осуществления регулируемых видов деятельности в сфере холодного водоснабжения</v>
      </c>
      <c r="N39" s="851" t="str">
        <f>IF(K39=0,"",K39)</f>
        <v/>
      </c>
      <c r="O39" s="964" t="s">
        <v>774</v>
      </c>
      <c r="P39" s="964" t="s">
        <v>768</v>
      </c>
      <c r="Q39" s="964" t="s">
        <v>774</v>
      </c>
      <c r="R39" s="964" t="s">
        <v>768</v>
      </c>
      <c r="S39" s="964"/>
      <c r="T39" s="971" t="s">
        <v>2175</v>
      </c>
      <c r="U39" s="853" t="s">
        <v>2176</v>
      </c>
      <c r="V39" s="853" t="s">
        <v>2177</v>
      </c>
      <c r="W39" s="853" t="s">
        <v>2178</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2.8</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2.8</v>
      </c>
      <c r="M40" s="851" t="str">
        <f>IF(J40=0,"",J40)</f>
        <v>Общепроизводственные расходы, в том числе:</v>
      </c>
      <c r="N40" s="851" t="str">
        <f>IF(K40=0,"",K40)</f>
        <v>Указывается общая сумма общепроизводственных расходов.</v>
      </c>
      <c r="O40" s="964" t="s">
        <v>826</v>
      </c>
      <c r="P40" s="964" t="s">
        <v>770</v>
      </c>
      <c r="Q40" s="964" t="s">
        <v>826</v>
      </c>
      <c r="R40" s="964" t="s">
        <v>770</v>
      </c>
      <c r="S40" s="964"/>
      <c r="T40" s="850" t="s">
        <v>2179</v>
      </c>
      <c r="U40" s="850" t="s">
        <v>2179</v>
      </c>
      <c r="V40" s="850" t="s">
        <v>2179</v>
      </c>
      <c r="W40" s="850" t="s">
        <v>2179</v>
      </c>
      <c r="X40" s="850"/>
      <c r="Y40" s="1007"/>
      <c r="Z40" s="853" t="s">
        <v>2180</v>
      </c>
      <c r="AA40" s="856" t="s">
        <v>2180</v>
      </c>
      <c r="AB40" s="856" t="s">
        <v>2180</v>
      </c>
      <c r="AC40" s="856" t="s">
        <v>2180</v>
      </c>
      <c r="AD40" s="853"/>
    </row>
    <row customHeight="1" ht="27">
      <c r="A41" s="852"/>
      <c r="B41" s="906">
        <v>24</v>
      </c>
      <c r="C41" s="850" t="s">
        <v>2181</v>
      </c>
      <c r="D41" s="974"/>
      <c r="E41" s="850"/>
      <c r="F41" s="850"/>
      <c r="G41" s="850"/>
      <c r="H41" s="898"/>
      <c r="I41" s="1012" t="str">
        <f>INDEX(TEMPLATE_NUMBER_POINT_FHD,B41,MATCH(TEMPLATE_SPHERE,TEMPLATE_SPHERE_LIST_FOR_NOTE,0))</f>
        <v>2.8.1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2.8.1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2182</v>
      </c>
      <c r="P41" s="964" t="s">
        <v>2170</v>
      </c>
      <c r="Q41" s="964" t="s">
        <v>2182</v>
      </c>
      <c r="R41" s="964" t="s">
        <v>2170</v>
      </c>
      <c r="S41" s="964"/>
      <c r="T41" s="850" t="s">
        <v>2183</v>
      </c>
      <c r="U41" s="850" t="s">
        <v>2183</v>
      </c>
      <c r="V41" s="850" t="s">
        <v>2183</v>
      </c>
      <c r="W41" s="850" t="s">
        <v>2183</v>
      </c>
      <c r="X41" s="850"/>
      <c r="Y41" s="1007"/>
      <c r="Z41" s="853" t="s">
        <v>2184</v>
      </c>
      <c r="AA41" s="853" t="s">
        <v>2184</v>
      </c>
      <c r="AB41" s="853" t="s">
        <v>2184</v>
      </c>
      <c r="AC41" s="853" t="s">
        <v>2184</v>
      </c>
      <c r="AD41" s="853"/>
    </row>
    <row customHeight="1" ht="27">
      <c r="A42" s="852"/>
      <c r="B42" s="906">
        <v>25</v>
      </c>
      <c r="C42" s="850" t="s">
        <v>2185</v>
      </c>
      <c r="D42" s="974"/>
      <c r="E42" s="850"/>
      <c r="F42" s="850"/>
      <c r="G42" s="850"/>
      <c r="H42" s="898"/>
      <c r="I42" s="1012" t="str">
        <f>INDEX(TEMPLATE_NUMBER_POINT_FHD,B42,MATCH(TEMPLATE_SPHERE,TEMPLATE_SPHERE_LIST_FOR_NOTE,0))</f>
        <v>2.8.2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2.8.2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2186</v>
      </c>
      <c r="P42" s="964" t="s">
        <v>2173</v>
      </c>
      <c r="Q42" s="964" t="s">
        <v>2186</v>
      </c>
      <c r="R42" s="964" t="s">
        <v>2173</v>
      </c>
      <c r="S42" s="964"/>
      <c r="T42" s="850" t="s">
        <v>2187</v>
      </c>
      <c r="U42" s="850" t="s">
        <v>2187</v>
      </c>
      <c r="V42" s="850" t="s">
        <v>2187</v>
      </c>
      <c r="W42" s="850" t="s">
        <v>2187</v>
      </c>
      <c r="X42" s="850"/>
      <c r="Y42" s="1007"/>
      <c r="Z42" s="853" t="s">
        <v>2188</v>
      </c>
      <c r="AA42" s="853" t="s">
        <v>2188</v>
      </c>
      <c r="AB42" s="853" t="s">
        <v>2188</v>
      </c>
      <c r="AC42" s="853" t="s">
        <v>2188</v>
      </c>
      <c r="AD42" s="853"/>
    </row>
    <row customHeight="1" ht="18">
      <c r="A43" s="852"/>
      <c r="B43" s="906">
        <v>26</v>
      </c>
      <c r="C43" s="850">
        <v>14</v>
      </c>
      <c r="D43" s="974"/>
      <c r="E43" s="850"/>
      <c r="F43" s="850"/>
      <c r="G43" s="850"/>
      <c r="H43" s="898"/>
      <c r="I43" s="1012" t="str">
        <f>INDEX(TEMPLATE_NUMBER_POINT_FHD,B43,MATCH(TEMPLATE_SPHERE,TEMPLATE_SPHERE_LIST_FOR_NOTE,0))</f>
        <v>2.9</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2.9</v>
      </c>
      <c r="M43" s="851" t="str">
        <f>IF(J43=0,"",J43)</f>
        <v>Общехозяйственные расходы, в том числе:</v>
      </c>
      <c r="N43" s="851" t="str">
        <f>IF(K43=0,"",K43)</f>
        <v>Указывается общая сумма общехозяйственных расходов.</v>
      </c>
      <c r="O43" s="964" t="s">
        <v>2189</v>
      </c>
      <c r="P43" s="964" t="s">
        <v>774</v>
      </c>
      <c r="Q43" s="964" t="s">
        <v>2189</v>
      </c>
      <c r="R43" s="964" t="s">
        <v>774</v>
      </c>
      <c r="S43" s="964"/>
      <c r="T43" s="850" t="s">
        <v>2190</v>
      </c>
      <c r="U43" s="850" t="s">
        <v>2190</v>
      </c>
      <c r="V43" s="850" t="s">
        <v>2190</v>
      </c>
      <c r="W43" s="850" t="s">
        <v>2190</v>
      </c>
      <c r="X43" s="850"/>
      <c r="Y43" s="1007"/>
      <c r="Z43" s="853" t="s">
        <v>2191</v>
      </c>
      <c r="AA43" s="853" t="s">
        <v>2191</v>
      </c>
      <c r="AB43" s="853" t="s">
        <v>2191</v>
      </c>
      <c r="AC43" s="853" t="s">
        <v>2191</v>
      </c>
      <c r="AD43" s="853"/>
    </row>
    <row customHeight="1" ht="27">
      <c r="A44" s="852"/>
      <c r="B44" s="906">
        <v>27</v>
      </c>
      <c r="C44" s="850" t="s">
        <v>2192</v>
      </c>
      <c r="D44" s="974"/>
      <c r="E44" s="850"/>
      <c r="F44" s="850"/>
      <c r="G44" s="850"/>
      <c r="H44" s="898"/>
      <c r="I44" s="1012" t="str">
        <f>INDEX(TEMPLATE_NUMBER_POINT_FHD,B44,MATCH(TEMPLATE_SPHERE,TEMPLATE_SPHERE_LIST_FOR_NOTE,0))</f>
        <v>2.9.1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2.9.1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2193</v>
      </c>
      <c r="P44" s="964" t="s">
        <v>777</v>
      </c>
      <c r="Q44" s="964" t="s">
        <v>2193</v>
      </c>
      <c r="R44" s="964" t="s">
        <v>777</v>
      </c>
      <c r="S44" s="964"/>
      <c r="T44" s="850" t="s">
        <v>2183</v>
      </c>
      <c r="U44" s="850" t="s">
        <v>2183</v>
      </c>
      <c r="V44" s="850" t="s">
        <v>2183</v>
      </c>
      <c r="W44" s="850" t="s">
        <v>2183</v>
      </c>
      <c r="X44" s="850"/>
      <c r="Y44" s="1007"/>
      <c r="Z44" s="853" t="s">
        <v>2194</v>
      </c>
      <c r="AA44" s="853" t="s">
        <v>2194</v>
      </c>
      <c r="AB44" s="853" t="s">
        <v>2194</v>
      </c>
      <c r="AC44" s="853" t="s">
        <v>2194</v>
      </c>
      <c r="AD44" s="853"/>
    </row>
    <row customHeight="1" ht="27">
      <c r="A45" s="852"/>
      <c r="B45" s="906">
        <v>28</v>
      </c>
      <c r="C45" s="850" t="s">
        <v>2195</v>
      </c>
      <c r="D45" s="974"/>
      <c r="E45" s="850"/>
      <c r="F45" s="850"/>
      <c r="G45" s="850"/>
      <c r="H45" s="898"/>
      <c r="I45" s="1012" t="str">
        <f>INDEX(TEMPLATE_NUMBER_POINT_FHD,B45,MATCH(TEMPLATE_SPHERE,TEMPLATE_SPHERE_LIST_FOR_NOTE,0))</f>
        <v>2.9.2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2.9.2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2196</v>
      </c>
      <c r="P45" s="964" t="s">
        <v>780</v>
      </c>
      <c r="Q45" s="964" t="s">
        <v>2196</v>
      </c>
      <c r="R45" s="964" t="s">
        <v>780</v>
      </c>
      <c r="S45" s="964"/>
      <c r="T45" s="850" t="s">
        <v>2187</v>
      </c>
      <c r="U45" s="850" t="s">
        <v>2187</v>
      </c>
      <c r="V45" s="850" t="s">
        <v>2187</v>
      </c>
      <c r="W45" s="850" t="s">
        <v>2187</v>
      </c>
      <c r="X45" s="850"/>
      <c r="Y45" s="1007"/>
      <c r="Z45" s="853" t="s">
        <v>2197</v>
      </c>
      <c r="AA45" s="853" t="s">
        <v>2197</v>
      </c>
      <c r="AB45" s="853" t="s">
        <v>2197</v>
      </c>
      <c r="AC45" s="853" t="s">
        <v>2197</v>
      </c>
      <c r="AD45" s="853"/>
    </row>
    <row customHeight="1" ht="54">
      <c r="A46" s="852"/>
      <c r="B46" s="906">
        <v>29</v>
      </c>
      <c r="C46" s="850">
        <v>15</v>
      </c>
      <c r="D46" s="974"/>
      <c r="E46" s="850"/>
      <c r="F46" s="850"/>
      <c r="G46" s="850"/>
      <c r="H46" s="898"/>
      <c r="I46" s="1012" t="str">
        <f>INDEX(TEMPLATE_NUMBER_POINT_FHD,B46,MATCH(TEMPLATE_SPHERE,TEMPLATE_SPHERE_LIST_FOR_NOTE,0))</f>
        <v>2.10</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2.10</v>
      </c>
      <c r="M46" s="851" t="str">
        <f>IF(J46=0,"",J46)</f>
        <v>Расходы на капитальный и текущий ремонт основных средств</v>
      </c>
      <c r="N46" s="85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2198</v>
      </c>
      <c r="P46" s="964" t="s">
        <v>826</v>
      </c>
      <c r="Q46" s="964" t="s">
        <v>2198</v>
      </c>
      <c r="R46" s="964" t="s">
        <v>826</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0" t="s">
        <v>2199</v>
      </c>
      <c r="V46" s="850" t="s">
        <v>2199</v>
      </c>
      <c r="W46" s="850" t="s">
        <v>2199</v>
      </c>
      <c r="X46" s="850"/>
      <c r="Y46" s="1007"/>
      <c r="Z46" s="853" t="s">
        <v>2200</v>
      </c>
      <c r="AA46" s="853" t="s">
        <v>2201</v>
      </c>
      <c r="AB46" s="853" t="s">
        <v>2201</v>
      </c>
      <c r="AC46" s="853" t="s">
        <v>2201</v>
      </c>
      <c r="AD46" s="853"/>
    </row>
    <row customHeight="1" ht="54">
      <c r="A47" s="852"/>
      <c r="B47" s="906">
        <v>30</v>
      </c>
      <c r="C47" s="850" t="s">
        <v>2202</v>
      </c>
      <c r="D47" s="974"/>
      <c r="E47" s="850"/>
      <c r="F47" s="850"/>
      <c r="G47" s="850"/>
      <c r="H47" s="898"/>
      <c r="I47" s="1012" t="str">
        <f>INDEX(TEMPLATE_NUMBER_POINT_FHD,B47,MATCH(TEMPLATE_SPHERE,TEMPLATE_SPHERE_LIST_FOR_NOTE,0))</f>
        <v>2.10.1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2.10.1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2203</v>
      </c>
      <c r="P47" s="964" t="s">
        <v>2182</v>
      </c>
      <c r="Q47" s="964" t="s">
        <v>2203</v>
      </c>
      <c r="R47" s="964" t="s">
        <v>2182</v>
      </c>
      <c r="S47" s="964"/>
      <c r="T47" s="850" t="s">
        <v>2204</v>
      </c>
      <c r="U47" s="850" t="s">
        <v>2204</v>
      </c>
      <c r="V47" s="850" t="s">
        <v>2204</v>
      </c>
      <c r="W47" s="850" t="s">
        <v>2204</v>
      </c>
      <c r="X47" s="850"/>
      <c r="Y47" s="1007"/>
      <c r="Z47" s="853"/>
      <c r="AA47" s="856"/>
      <c r="AB47" s="856"/>
      <c r="AC47" s="856"/>
      <c r="AD47" s="853"/>
    </row>
    <row customHeight="1" ht="54">
      <c r="A48" s="852"/>
      <c r="B48" s="906">
        <v>31</v>
      </c>
      <c r="C48" s="850">
        <v>16</v>
      </c>
      <c r="D48" s="974"/>
      <c r="E48" s="850"/>
      <c r="F48" s="850"/>
      <c r="G48" s="850"/>
      <c r="H48" s="898"/>
      <c r="I48" s="1012" t="str">
        <f>INDEX(TEMPLATE_NUMBER_POINT_FHD,B48,MATCH(TEMPLATE_SPHERE,TEMPLATE_SPHERE_LIST_FOR_NOTE,0))</f>
        <v>2.11</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1" t="str">
        <f>IF(I48=0,"",I48)</f>
        <v>2.11</v>
      </c>
      <c r="M48" s="85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2189</v>
      </c>
      <c r="Q48" s="964" t="s">
        <v>2205</v>
      </c>
      <c r="R48" s="964" t="s">
        <v>2189</v>
      </c>
      <c r="S48" s="964"/>
      <c r="T48" s="850"/>
      <c r="U48" s="850" t="s">
        <v>2206</v>
      </c>
      <c r="V48" s="850" t="s">
        <v>2207</v>
      </c>
      <c r="W48" s="850" t="s">
        <v>2207</v>
      </c>
      <c r="X48" s="850"/>
      <c r="Y48" s="1007"/>
      <c r="Z48" s="853"/>
      <c r="AA48" s="856" t="s">
        <v>2201</v>
      </c>
      <c r="AB48" s="856" t="s">
        <v>2201</v>
      </c>
      <c r="AC48" s="856" t="s">
        <v>2201</v>
      </c>
      <c r="AD48" s="853"/>
    </row>
    <row customHeight="1" ht="54">
      <c r="A49" s="852"/>
      <c r="B49" s="906">
        <v>32</v>
      </c>
      <c r="C49" s="850" t="s">
        <v>2208</v>
      </c>
      <c r="D49" s="974"/>
      <c r="E49" s="850"/>
      <c r="F49" s="850"/>
      <c r="G49" s="850"/>
      <c r="H49" s="898"/>
      <c r="I49" s="1012" t="str">
        <f>INDEX(TEMPLATE_NUMBER_POINT_FHD,B49,MATCH(TEMPLATE_SPHERE,TEMPLATE_SPHERE_LIST_FOR_NOTE,0))</f>
        <v>2.11.1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1" t="str">
        <f>IF(I49=0,"",I49)</f>
        <v>2.11.1</v>
      </c>
      <c r="M49" s="85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1" t="str">
        <f>IF(K49=0,"",K49)</f>
        <v/>
      </c>
      <c r="O49" s="964"/>
      <c r="P49" s="964" t="s">
        <v>2193</v>
      </c>
      <c r="Q49" s="964" t="s">
        <v>2209</v>
      </c>
      <c r="R49" s="964" t="s">
        <v>2193</v>
      </c>
      <c r="S49" s="964"/>
      <c r="T49" s="850"/>
      <c r="U49" s="850" t="s">
        <v>2204</v>
      </c>
      <c r="V49" s="850" t="s">
        <v>2204</v>
      </c>
      <c r="W49" s="850" t="s">
        <v>2204</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2.12</v>
      </c>
      <c r="J50" s="1012"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1" t="str">
        <f>IF(I50=0,"",I50)</f>
        <v>2.12</v>
      </c>
      <c r="M50" s="851"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2205</v>
      </c>
      <c r="P50" s="964" t="s">
        <v>2198</v>
      </c>
      <c r="Q50" s="964" t="s">
        <v>2210</v>
      </c>
      <c r="R50" s="964" t="s">
        <v>2198</v>
      </c>
      <c r="S50" s="964"/>
      <c r="T50" s="850" t="s">
        <v>2211</v>
      </c>
      <c r="U50" s="850" t="s">
        <v>2212</v>
      </c>
      <c r="V50" s="850" t="s">
        <v>2213</v>
      </c>
      <c r="W50" s="850" t="s">
        <v>2214</v>
      </c>
      <c r="X50" s="850"/>
      <c r="Y50" s="1007"/>
      <c r="Z50" s="853" t="s">
        <v>2215</v>
      </c>
      <c r="AA50" s="856" t="s">
        <v>2216</v>
      </c>
      <c r="AB50" s="856" t="s">
        <v>2216</v>
      </c>
      <c r="AC50" s="856" t="s">
        <v>2216</v>
      </c>
      <c r="AD50" s="853"/>
    </row>
    <row customHeight="1" ht="27">
      <c r="A51" s="852"/>
      <c r="B51" s="906">
        <v>34</v>
      </c>
      <c r="C51" s="850" t="s">
        <v>2217</v>
      </c>
      <c r="D51" s="974"/>
      <c r="E51" s="850"/>
      <c r="F51" s="850"/>
      <c r="G51" s="850"/>
      <c r="H51" s="898"/>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1" t="str">
        <f>IF(I51=0,"",I51)</f>
        <v/>
      </c>
      <c r="M51" s="851" t="str">
        <f>IF(J51=0,"",J51)</f>
        <v/>
      </c>
      <c r="N51" s="851" t="str">
        <f>IF(K51=0,"",K51)</f>
        <v/>
      </c>
      <c r="O51" s="964" t="s">
        <v>89</v>
      </c>
      <c r="P51" s="964"/>
      <c r="Q51" s="964"/>
      <c r="R51" s="964"/>
      <c r="S51" s="964"/>
      <c r="T51" s="850" t="s">
        <v>2218</v>
      </c>
      <c r="U51" s="850"/>
      <c r="V51" s="850"/>
      <c r="W51" s="850"/>
      <c r="X51" s="850"/>
      <c r="Y51" s="1007"/>
      <c r="Z51" s="853"/>
      <c r="AA51" s="856"/>
      <c r="AB51" s="856"/>
      <c r="AC51" s="856"/>
      <c r="AD51" s="853"/>
    </row>
    <row customHeight="1" ht="36">
      <c r="A52" s="852"/>
      <c r="B52" s="906">
        <v>35</v>
      </c>
      <c r="C52" s="850" t="s">
        <v>2114</v>
      </c>
      <c r="D52" s="974" t="s">
        <v>2114</v>
      </c>
      <c r="E52" s="850" t="s">
        <v>2114</v>
      </c>
      <c r="F52" s="850" t="s">
        <v>2114</v>
      </c>
      <c r="G52" s="850"/>
      <c r="H52" s="898"/>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3</v>
      </c>
      <c r="M52" s="851" t="str">
        <f>IF(J52=0,"",J52)</f>
        <v>Чистая прибыль, полученная от регулируемого вида деятельности в сфере холодного водоснабжения, в том числе:</v>
      </c>
      <c r="N52" s="851" t="str">
        <f>IF(K52=0,"",K52)</f>
        <v>Указывается общая сумма чистой прибыли, полученной от регулируемого вида деятельности.</v>
      </c>
      <c r="O52" s="964" t="s">
        <v>90</v>
      </c>
      <c r="P52" s="964" t="s">
        <v>89</v>
      </c>
      <c r="Q52" s="964" t="s">
        <v>89</v>
      </c>
      <c r="R52" s="964" t="s">
        <v>89</v>
      </c>
      <c r="S52" s="964"/>
      <c r="T52" s="850" t="s">
        <v>2219</v>
      </c>
      <c r="U52" s="850" t="s">
        <v>2220</v>
      </c>
      <c r="V52" s="850" t="s">
        <v>2221</v>
      </c>
      <c r="W52" s="850" t="s">
        <v>2222</v>
      </c>
      <c r="X52" s="850"/>
      <c r="Y52" s="1007"/>
      <c r="Z52" s="853" t="s">
        <v>784</v>
      </c>
      <c r="AA52" s="856" t="s">
        <v>784</v>
      </c>
      <c r="AB52" s="856" t="s">
        <v>784</v>
      </c>
      <c r="AC52" s="856" t="s">
        <v>784</v>
      </c>
      <c r="AD52" s="853"/>
    </row>
    <row customHeight="1" ht="36">
      <c r="A53" s="852"/>
      <c r="B53" s="906">
        <v>36</v>
      </c>
      <c r="C53" s="850">
        <v>1</v>
      </c>
      <c r="D53" s="974"/>
      <c r="E53" s="850"/>
      <c r="F53" s="850"/>
      <c r="G53" s="850"/>
      <c r="H53" s="898"/>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3.1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788</v>
      </c>
      <c r="P53" s="964" t="s">
        <v>323</v>
      </c>
      <c r="Q53" s="964" t="s">
        <v>323</v>
      </c>
      <c r="R53" s="964" t="s">
        <v>323</v>
      </c>
      <c r="S53" s="964"/>
      <c r="T53" s="850" t="s">
        <v>2223</v>
      </c>
      <c r="U53" s="850" t="s">
        <v>2223</v>
      </c>
      <c r="V53" s="850" t="s">
        <v>2223</v>
      </c>
      <c r="W53" s="850" t="s">
        <v>2223</v>
      </c>
      <c r="X53" s="850"/>
      <c r="Y53" s="1007"/>
      <c r="Z53" s="853"/>
      <c r="AA53" s="856"/>
      <c r="AB53" s="853"/>
      <c r="AC53" s="853"/>
      <c r="AD53" s="853"/>
    </row>
    <row customHeight="1" ht="18">
      <c r="A54" s="852"/>
      <c r="B54" s="906">
        <v>37</v>
      </c>
      <c r="C54" s="850" t="s">
        <v>2120</v>
      </c>
      <c r="D54" s="974" t="s">
        <v>2120</v>
      </c>
      <c r="E54" s="850" t="s">
        <v>2120</v>
      </c>
      <c r="F54" s="850" t="s">
        <v>2120</v>
      </c>
      <c r="G54" s="850"/>
      <c r="H54" s="898"/>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4</v>
      </c>
      <c r="M54" s="851" t="str">
        <f>IF(J54=0,"",J54)</f>
        <v>Изменение стоимости основных фондов, в том числе:</v>
      </c>
      <c r="N54" s="851" t="str">
        <f>IF(K54=0,"",K54)</f>
        <v>Указывается общее изменение стоимости основных фондов.</v>
      </c>
      <c r="O54" s="964" t="s">
        <v>111</v>
      </c>
      <c r="P54" s="964" t="s">
        <v>90</v>
      </c>
      <c r="Q54" s="964" t="s">
        <v>90</v>
      </c>
      <c r="R54" s="964" t="s">
        <v>90</v>
      </c>
      <c r="S54" s="964"/>
      <c r="T54" s="850" t="s">
        <v>786</v>
      </c>
      <c r="U54" s="850" t="s">
        <v>786</v>
      </c>
      <c r="V54" s="850" t="s">
        <v>786</v>
      </c>
      <c r="W54" s="850" t="s">
        <v>786</v>
      </c>
      <c r="X54" s="850"/>
      <c r="Y54" s="1007"/>
      <c r="Z54" s="853" t="s">
        <v>787</v>
      </c>
      <c r="AA54" s="853" t="s">
        <v>787</v>
      </c>
      <c r="AB54" s="853" t="s">
        <v>787</v>
      </c>
      <c r="AC54" s="853" t="s">
        <v>787</v>
      </c>
      <c r="AD54" s="853"/>
    </row>
    <row customHeight="1" ht="36">
      <c r="A55" s="852"/>
      <c r="B55" s="906">
        <v>38</v>
      </c>
      <c r="C55" s="850">
        <v>1</v>
      </c>
      <c r="D55" s="974"/>
      <c r="E55" s="850"/>
      <c r="F55" s="850"/>
      <c r="G55" s="850"/>
      <c r="H55" s="898"/>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4.1</v>
      </c>
      <c r="M55" s="851" t="str">
        <f>IF(J55=0,"",J55)</f>
        <v>Изменение стоимости основных фондов 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4" t="s">
        <v>312</v>
      </c>
      <c r="P55" s="964" t="s">
        <v>788</v>
      </c>
      <c r="Q55" s="964" t="s">
        <v>788</v>
      </c>
      <c r="R55" s="964" t="s">
        <v>788</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0" t="s">
        <v>2224</v>
      </c>
      <c r="V55" s="850" t="s">
        <v>2224</v>
      </c>
      <c r="W55" s="850" t="s">
        <v>2224</v>
      </c>
      <c r="X55" s="850"/>
      <c r="Y55" s="1007"/>
      <c r="Z55" s="853" t="s">
        <v>2225</v>
      </c>
      <c r="AA55" s="853" t="s">
        <v>2225</v>
      </c>
      <c r="AB55" s="853" t="s">
        <v>2225</v>
      </c>
      <c r="AC55" s="853" t="s">
        <v>2225</v>
      </c>
      <c r="AD55" s="853"/>
    </row>
    <row customHeight="1" ht="27">
      <c r="A56" s="852"/>
      <c r="B56" s="906">
        <v>39</v>
      </c>
      <c r="C56" s="850" t="s">
        <v>1114</v>
      </c>
      <c r="D56" s="974"/>
      <c r="E56" s="850"/>
      <c r="F56" s="850"/>
      <c r="G56" s="850"/>
      <c r="H56" s="898"/>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4.1.1</v>
      </c>
      <c r="M56" s="851" t="str">
        <f>IF(J56=0,"",J56)</f>
        <v>Изменение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1237</v>
      </c>
      <c r="P56" s="964" t="s">
        <v>791</v>
      </c>
      <c r="Q56" s="964" t="s">
        <v>791</v>
      </c>
      <c r="R56" s="964" t="s">
        <v>791</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0" t="s">
        <v>2226</v>
      </c>
      <c r="V56" s="850" t="s">
        <v>2226</v>
      </c>
      <c r="W56" s="850" t="s">
        <v>2226</v>
      </c>
      <c r="X56" s="850"/>
      <c r="Y56" s="1007"/>
      <c r="Z56" s="853" t="s">
        <v>793</v>
      </c>
      <c r="AA56" s="853" t="s">
        <v>793</v>
      </c>
      <c r="AB56" s="853" t="s">
        <v>793</v>
      </c>
      <c r="AC56" s="853" t="s">
        <v>793</v>
      </c>
      <c r="AD56" s="853"/>
    </row>
    <row customHeight="1" ht="27">
      <c r="A57" s="852"/>
      <c r="B57" s="906">
        <v>40</v>
      </c>
      <c r="C57" s="850" t="s">
        <v>1116</v>
      </c>
      <c r="D57" s="974"/>
      <c r="E57" s="850"/>
      <c r="F57" s="850"/>
      <c r="G57" s="850"/>
      <c r="H57" s="898"/>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4.1.2</v>
      </c>
      <c r="M57" s="851" t="str">
        <f>IF(J57=0,"",J57)</f>
        <v>Изменение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2227</v>
      </c>
      <c r="P57" s="964" t="s">
        <v>794</v>
      </c>
      <c r="Q57" s="964" t="s">
        <v>794</v>
      </c>
      <c r="R57" s="964" t="s">
        <v>794</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0" t="s">
        <v>2228</v>
      </c>
      <c r="V57" s="850" t="s">
        <v>2228</v>
      </c>
      <c r="W57" s="850" t="s">
        <v>2228</v>
      </c>
      <c r="X57" s="850"/>
      <c r="Y57" s="1007"/>
      <c r="Z57" s="853" t="s">
        <v>796</v>
      </c>
      <c r="AA57" s="853" t="s">
        <v>796</v>
      </c>
      <c r="AB57" s="853" t="s">
        <v>796</v>
      </c>
      <c r="AC57" s="853" t="s">
        <v>796</v>
      </c>
      <c r="AD57" s="853"/>
    </row>
    <row customHeight="1" ht="18">
      <c r="A58" s="852"/>
      <c r="B58" s="906">
        <v>41</v>
      </c>
      <c r="C58" s="850">
        <v>2</v>
      </c>
      <c r="D58" s="974"/>
      <c r="E58" s="850"/>
      <c r="F58" s="850"/>
      <c r="G58" s="850"/>
      <c r="H58" s="898"/>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4.2</v>
      </c>
      <c r="M58" s="851" t="str">
        <f>IF(J58=0,"",J58)</f>
        <v>Изменение стоимости основных фондов за счет их переоценки</v>
      </c>
      <c r="N58" s="851" t="str">
        <f>IF(K58=0,"",K58)</f>
        <v/>
      </c>
      <c r="O58" s="964" t="s">
        <v>928</v>
      </c>
      <c r="P58" s="964" t="s">
        <v>832</v>
      </c>
      <c r="Q58" s="964" t="s">
        <v>832</v>
      </c>
      <c r="R58" s="964" t="s">
        <v>832</v>
      </c>
      <c r="S58" s="964"/>
      <c r="T58" s="851" t="str">
        <f>IF(TITLE_TYPE_ORG="Регулируемая организация","Изменение стоимости основных фондов за счет их переоценки","за счет их переоценки")</f>
        <v>за счет их переоценки</v>
      </c>
      <c r="U58" s="850" t="s">
        <v>2229</v>
      </c>
      <c r="V58" s="850" t="s">
        <v>2229</v>
      </c>
      <c r="W58" s="850" t="s">
        <v>2229</v>
      </c>
      <c r="X58" s="850"/>
      <c r="Y58" s="1007"/>
      <c r="Z58" s="853"/>
      <c r="AA58" s="856"/>
      <c r="AB58" s="853"/>
      <c r="AC58" s="853"/>
      <c r="AD58" s="853"/>
    </row>
    <row customHeight="1" ht="36">
      <c r="A59" s="852"/>
      <c r="B59" s="906">
        <v>42</v>
      </c>
      <c r="C59" s="850">
        <v>3</v>
      </c>
      <c r="D59" s="974" t="s">
        <v>2217</v>
      </c>
      <c r="E59" s="850" t="s">
        <v>2217</v>
      </c>
      <c r="F59" s="850" t="s">
        <v>2217</v>
      </c>
      <c r="G59" s="850"/>
      <c r="H59" s="898"/>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2">
        <f>INDEX(TEMPLATE_NOTE_POINT_FHD,B59,MATCH(TEMPLATE_SPHERE,TEMPLATE_SPHERE_LIST_FOR_NOTE,0))</f>
        <v>0</v>
      </c>
      <c r="L59" s="851" t="str">
        <f>IF(I59=0,"",I59)</f>
        <v>5</v>
      </c>
      <c r="M59" s="851" t="str">
        <f>IF(J59=0,"",J59)</f>
        <v>Валовая прибыль (убытки) от продажи товаров и услуг по регулируемым видам деятельности в сфере холодного водоснабжения</v>
      </c>
      <c r="N59" s="851" t="str">
        <f>IF(K59=0,"",K59)</f>
        <v/>
      </c>
      <c r="O59" s="964"/>
      <c r="P59" s="964" t="s">
        <v>111</v>
      </c>
      <c r="Q59" s="964" t="s">
        <v>111</v>
      </c>
      <c r="R59" s="964" t="s">
        <v>111</v>
      </c>
      <c r="S59" s="964"/>
      <c r="T59" s="850"/>
      <c r="U59" s="850" t="s">
        <v>2230</v>
      </c>
      <c r="V59" s="850" t="s">
        <v>2231</v>
      </c>
      <c r="W59" s="850" t="s">
        <v>2232</v>
      </c>
      <c r="X59" s="850"/>
      <c r="Y59" s="1007"/>
      <c r="Z59" s="853"/>
      <c r="AA59" s="856"/>
      <c r="AB59" s="853"/>
      <c r="AC59" s="853"/>
      <c r="AD59" s="853"/>
    </row>
    <row customHeight="1" ht="81">
      <c r="A60" s="852"/>
      <c r="B60" s="906">
        <v>43</v>
      </c>
      <c r="C60" s="850" t="s">
        <v>2233</v>
      </c>
      <c r="D60" s="974" t="s">
        <v>2233</v>
      </c>
      <c r="E60" s="850" t="s">
        <v>2233</v>
      </c>
      <c r="F60" s="850" t="s">
        <v>2233</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4" t="s">
        <v>91</v>
      </c>
      <c r="P60" s="964" t="s">
        <v>91</v>
      </c>
      <c r="Q60" s="964" t="s">
        <v>91</v>
      </c>
      <c r="R60" s="964" t="s">
        <v>91</v>
      </c>
      <c r="S60" s="964"/>
      <c r="T60" s="850" t="s">
        <v>658</v>
      </c>
      <c r="U60" s="850" t="s">
        <v>658</v>
      </c>
      <c r="V60" s="850" t="s">
        <v>658</v>
      </c>
      <c r="W60" s="850" t="s">
        <v>658</v>
      </c>
      <c r="X60" s="850"/>
      <c r="Y60" s="1007"/>
      <c r="Z60" s="853" t="s">
        <v>2234</v>
      </c>
      <c r="AA60" s="856" t="s">
        <v>2235</v>
      </c>
      <c r="AB60" s="853" t="s">
        <v>2236</v>
      </c>
      <c r="AC60" s="853" t="s">
        <v>2235</v>
      </c>
      <c r="AD60" s="853"/>
    </row>
    <row customHeight="1" ht="9">
      <c r="A61" s="852"/>
      <c r="B61" s="906">
        <v>44</v>
      </c>
      <c r="C61" s="850"/>
      <c r="D61" s="974" t="s">
        <v>2237</v>
      </c>
      <c r="E61" s="850"/>
      <c r="F61" s="850"/>
      <c r="G61" s="850"/>
      <c r="H61" s="898"/>
      <c r="I61" s="1012" t="str">
        <f>INDEX(TEMPLATE_NUMBER_POINT_FHD,B61,MATCH(TEMPLATE_SPHERE,TEMPLATE_SPHERE_LIST_FOR_NOTE,0))</f>
        <v>7</v>
      </c>
      <c r="J61" s="1012" t="str">
        <f>INDEX(TEMPLATE_DATA_POINT_FHD,B61,MATCH(TEMPLATE_SPHERE,TEMPLATE_SPHERE_LIST_FOR_NOTE,0))</f>
        <v>Объём поднятой воды</v>
      </c>
      <c r="K61" s="1012">
        <f>INDEX(TEMPLATE_NOTE_POINT_FHD,B61,MATCH(TEMPLATE_SPHERE,TEMPLATE_SPHERE_LIST_FOR_NOTE,0))</f>
        <v>0</v>
      </c>
      <c r="L61" s="851" t="str">
        <f>IF(I61=0,"",I61)</f>
        <v>7</v>
      </c>
      <c r="M61" s="851" t="str">
        <f>IF(J61=0,"",J61)</f>
        <v>Объём поднятой воды</v>
      </c>
      <c r="N61" s="851" t="str">
        <f>IF(K61=0,"",K61)</f>
        <v/>
      </c>
      <c r="O61" s="964"/>
      <c r="P61" s="964" t="s">
        <v>92</v>
      </c>
      <c r="Q61" s="964"/>
      <c r="R61" s="964"/>
      <c r="S61" s="964"/>
      <c r="T61" s="850"/>
      <c r="U61" s="850" t="s">
        <v>2238</v>
      </c>
      <c r="V61" s="850"/>
      <c r="W61" s="850"/>
      <c r="X61" s="850"/>
      <c r="Y61" s="1007"/>
      <c r="Z61" s="853"/>
      <c r="AA61" s="856"/>
      <c r="AB61" s="853"/>
      <c r="AC61" s="853"/>
      <c r="AD61" s="853"/>
    </row>
    <row customHeight="1" ht="9">
      <c r="A62" s="852"/>
      <c r="B62" s="906">
        <v>45</v>
      </c>
      <c r="C62" s="850"/>
      <c r="D62" s="974" t="s">
        <v>2239</v>
      </c>
      <c r="E62" s="850"/>
      <c r="F62" s="850"/>
      <c r="G62" s="850"/>
      <c r="H62" s="898"/>
      <c r="I62" s="1012" t="str">
        <f>INDEX(TEMPLATE_NUMBER_POINT_FHD,B62,MATCH(TEMPLATE_SPHERE,TEMPLATE_SPHERE_LIST_FOR_NOTE,0))</f>
        <v>8</v>
      </c>
      <c r="J62" s="1012" t="str">
        <f>INDEX(TEMPLATE_DATA_POINT_FHD,B62,MATCH(TEMPLATE_SPHERE,TEMPLATE_SPHERE_LIST_FOR_NOTE,0))</f>
        <v>Объём покупной воды</v>
      </c>
      <c r="K62" s="1012">
        <f>INDEX(TEMPLATE_NOTE_POINT_FHD,B62,MATCH(TEMPLATE_SPHERE,TEMPLATE_SPHERE_LIST_FOR_NOTE,0))</f>
        <v>0</v>
      </c>
      <c r="L62" s="851" t="str">
        <f>IF(I62=0,"",I62)</f>
        <v>8</v>
      </c>
      <c r="M62" s="851" t="str">
        <f>IF(J62=0,"",J62)</f>
        <v>Объём покупной воды</v>
      </c>
      <c r="N62" s="851" t="str">
        <f>IF(K62=0,"",K62)</f>
        <v/>
      </c>
      <c r="O62" s="964"/>
      <c r="P62" s="964" t="s">
        <v>112</v>
      </c>
      <c r="Q62" s="964"/>
      <c r="R62" s="964"/>
      <c r="S62" s="964"/>
      <c r="T62" s="850"/>
      <c r="U62" s="850" t="s">
        <v>2240</v>
      </c>
      <c r="V62" s="850"/>
      <c r="W62" s="850"/>
      <c r="X62" s="850"/>
      <c r="Y62" s="1007"/>
      <c r="Z62" s="853"/>
      <c r="AA62" s="856"/>
      <c r="AB62" s="853"/>
      <c r="AC62" s="853"/>
      <c r="AD62" s="853"/>
    </row>
    <row customHeight="1" ht="18">
      <c r="A63" s="852"/>
      <c r="B63" s="906">
        <v>46</v>
      </c>
      <c r="C63" s="850"/>
      <c r="D63" s="974" t="s">
        <v>2241</v>
      </c>
      <c r="E63" s="850"/>
      <c r="F63" s="850"/>
      <c r="G63" s="850"/>
      <c r="H63" s="898"/>
      <c r="I63" s="1012" t="str">
        <f>INDEX(TEMPLATE_NUMBER_POINT_FHD,B63,MATCH(TEMPLATE_SPHERE,TEMPLATE_SPHERE_LIST_FOR_NOTE,0))</f>
        <v>9</v>
      </c>
      <c r="J63" s="1012" t="str">
        <f>INDEX(TEMPLATE_DATA_POINT_FHD,B63,MATCH(TEMPLATE_SPHERE,TEMPLATE_SPHERE_LIST_FOR_NOTE,0))</f>
        <v>Объём воды, пропущенной через очистные сооружения</v>
      </c>
      <c r="K63" s="1012">
        <f>INDEX(TEMPLATE_NOTE_POINT_FHD,B63,MATCH(TEMPLATE_SPHERE,TEMPLATE_SPHERE_LIST_FOR_NOTE,0))</f>
        <v>0</v>
      </c>
      <c r="L63" s="851" t="str">
        <f>IF(I63=0,"",I63)</f>
        <v>9</v>
      </c>
      <c r="M63" s="851" t="str">
        <f>IF(J63=0,"",J63)</f>
        <v>Объём воды, пропущенной через очистные сооружения</v>
      </c>
      <c r="N63" s="851" t="str">
        <f>IF(K63=0,"",K63)</f>
        <v/>
      </c>
      <c r="O63" s="964"/>
      <c r="P63" s="964" t="s">
        <v>149</v>
      </c>
      <c r="Q63" s="964"/>
      <c r="R63" s="964"/>
      <c r="S63" s="964"/>
      <c r="T63" s="850"/>
      <c r="U63" s="850" t="s">
        <v>2242</v>
      </c>
      <c r="V63" s="850"/>
      <c r="W63" s="850"/>
      <c r="X63" s="850"/>
      <c r="Y63" s="1007"/>
      <c r="Z63" s="853"/>
      <c r="AA63" s="856"/>
      <c r="AB63" s="853"/>
      <c r="AC63" s="853"/>
      <c r="AD63" s="853"/>
    </row>
    <row customHeight="1" ht="18">
      <c r="A64" s="852"/>
      <c r="B64" s="906">
        <v>47</v>
      </c>
      <c r="C64" s="850"/>
      <c r="D64" s="974" t="s">
        <v>2243</v>
      </c>
      <c r="E64" s="850"/>
      <c r="F64" s="850"/>
      <c r="G64" s="850"/>
      <c r="H64" s="898"/>
      <c r="I64" s="1012" t="str">
        <f>INDEX(TEMPLATE_NUMBER_POINT_FHD,B64,MATCH(TEMPLATE_SPHERE,TEMPLATE_SPHERE_LIST_FOR_NOTE,0))</f>
        <v>10</v>
      </c>
      <c r="J64" s="1012" t="str">
        <f>INDEX(TEMPLATE_DATA_POINT_FHD,B64,MATCH(TEMPLATE_SPHERE,TEMPLATE_SPHERE_LIST_FOR_NOTE,0))</f>
        <v>Объём отпущенной потребителям воды, в том числе:</v>
      </c>
      <c r="K64" s="1012" t="str">
        <f>INDEX(TEMPLATE_NOTE_POINT_FHD,B64,MATCH(TEMPLATE_SPHERE,TEMPLATE_SPHERE_LIST_FOR_NOTE,0))</f>
        <v>Указывается общий объем отпущенной потребителям воды.</v>
      </c>
      <c r="L64" s="851" t="str">
        <f>IF(I64=0,"",I64)</f>
        <v>10</v>
      </c>
      <c r="M64" s="851" t="str">
        <f>IF(J64=0,"",J64)</f>
        <v>Объём отпущенной потребителям воды, в том числе:</v>
      </c>
      <c r="N64" s="851" t="str">
        <f>IF(K64=0,"",K64)</f>
        <v>Указывается общий объем отпущенной потребителям воды.</v>
      </c>
      <c r="O64" s="964"/>
      <c r="P64" s="964" t="s">
        <v>150</v>
      </c>
      <c r="Q64" s="964"/>
      <c r="R64" s="964"/>
      <c r="S64" s="964"/>
      <c r="T64" s="850"/>
      <c r="U64" s="850" t="s">
        <v>2244</v>
      </c>
      <c r="V64" s="850"/>
      <c r="W64" s="850"/>
      <c r="X64" s="850"/>
      <c r="Y64" s="1007"/>
      <c r="Z64" s="853"/>
      <c r="AA64" s="856" t="s">
        <v>2245</v>
      </c>
      <c r="AB64" s="853"/>
      <c r="AC64" s="853"/>
      <c r="AD64" s="853"/>
    </row>
    <row customHeight="1" ht="18">
      <c r="A65" s="852"/>
      <c r="B65" s="906">
        <v>48</v>
      </c>
      <c r="C65" s="850"/>
      <c r="D65" s="974"/>
      <c r="E65" s="850"/>
      <c r="F65" s="850"/>
      <c r="G65" s="850"/>
      <c r="H65" s="898"/>
      <c r="I65" s="1012" t="str">
        <f>INDEX(TEMPLATE_NUMBER_POINT_FHD,B65,MATCH(TEMPLATE_SPHERE,TEMPLATE_SPHERE_LIST_FOR_NOTE,0))</f>
        <v>10.1</v>
      </c>
      <c r="J65" s="1012" t="str">
        <f>INDEX(TEMPLATE_DATA_POINT_FHD,B65,MATCH(TEMPLATE_SPHERE,TEMPLATE_SPHERE_LIST_FOR_NOTE,0))</f>
        <v>Объём отпущенной потребителям воды, определенный по приборам учета</v>
      </c>
      <c r="K65" s="1012">
        <f>INDEX(TEMPLATE_NOTE_POINT_FHD,B65,MATCH(TEMPLATE_SPHERE,TEMPLATE_SPHERE_LIST_FOR_NOTE,0))</f>
        <v>0</v>
      </c>
      <c r="L65" s="851" t="str">
        <f>IF(I65=0,"",I65)</f>
        <v>10.1</v>
      </c>
      <c r="M65" s="851" t="str">
        <f>IF(J65=0,"",J65)</f>
        <v>Объём отпущенной потребителям воды, определенный по приборам учета</v>
      </c>
      <c r="N65" s="851" t="str">
        <f>IF(K65=0,"",K65)</f>
        <v/>
      </c>
      <c r="O65" s="964"/>
      <c r="P65" s="964" t="s">
        <v>2161</v>
      </c>
      <c r="Q65" s="964"/>
      <c r="R65" s="964"/>
      <c r="S65" s="964"/>
      <c r="T65" s="850"/>
      <c r="U65" s="850" t="s">
        <v>2246</v>
      </c>
      <c r="V65" s="850"/>
      <c r="W65" s="850"/>
      <c r="X65" s="850"/>
      <c r="Y65" s="1007"/>
      <c r="Z65" s="853"/>
      <c r="AA65" s="856"/>
      <c r="AB65" s="853"/>
      <c r="AC65" s="853"/>
      <c r="AD65" s="853"/>
    </row>
    <row customHeight="1" ht="18">
      <c r="A66" s="852"/>
      <c r="B66" s="906">
        <v>49</v>
      </c>
      <c r="C66" s="850"/>
      <c r="D66" s="974"/>
      <c r="E66" s="850"/>
      <c r="F66" s="850"/>
      <c r="G66" s="850"/>
      <c r="H66" s="898"/>
      <c r="I66" s="1012" t="str">
        <f>INDEX(TEMPLATE_NUMBER_POINT_FHD,B66,MATCH(TEMPLATE_SPHERE,TEMPLATE_SPHERE_LIST_FOR_NOTE,0))</f>
        <v>10.2</v>
      </c>
      <c r="J66" s="1012" t="str">
        <f>INDEX(TEMPLATE_DATA_POINT_FHD,B66,MATCH(TEMPLATE_SPHERE,TEMPLATE_SPHERE_LIST_FOR_NOTE,0))</f>
        <v>Объём отпущенной потребителям воды, определенный расчетным способом</v>
      </c>
      <c r="K66" s="1012">
        <f>INDEX(TEMPLATE_NOTE_POINT_FHD,B66,MATCH(TEMPLATE_SPHERE,TEMPLATE_SPHERE_LIST_FOR_NOTE,0))</f>
        <v>0</v>
      </c>
      <c r="L66" s="851" t="str">
        <f>IF(I66=0,"",I66)</f>
        <v>10.2</v>
      </c>
      <c r="M66" s="851" t="str">
        <f>IF(J66=0,"",J66)</f>
        <v>Объём отпущенной потребителям воды, определенный расчетным способом</v>
      </c>
      <c r="N66" s="851" t="str">
        <f>IF(K66=0,"",K66)</f>
        <v/>
      </c>
      <c r="O66" s="964"/>
      <c r="P66" s="964" t="s">
        <v>2165</v>
      </c>
      <c r="Q66" s="964"/>
      <c r="R66" s="964"/>
      <c r="S66" s="964"/>
      <c r="T66" s="850"/>
      <c r="U66" s="850" t="s">
        <v>2247</v>
      </c>
      <c r="V66" s="850"/>
      <c r="W66" s="850"/>
      <c r="X66" s="850"/>
      <c r="Y66" s="1007"/>
      <c r="Z66" s="853"/>
      <c r="AA66" s="856"/>
      <c r="AB66" s="853"/>
      <c r="AC66" s="853"/>
      <c r="AD66" s="853"/>
    </row>
    <row customHeight="1" ht="27">
      <c r="A67" s="852"/>
      <c r="B67" s="906">
        <v>50</v>
      </c>
      <c r="C67" s="850"/>
      <c r="D67" s="974"/>
      <c r="E67" s="850"/>
      <c r="F67" s="850"/>
      <c r="G67" s="850"/>
      <c r="H67" s="898"/>
      <c r="I67" s="1012" t="str">
        <f>INDEX(TEMPLATE_NUMBER_POINT_FHD,B67,MATCH(TEMPLATE_SPHERE,TEMPLATE_SPHERE_LIST_FOR_NOTE,0))</f>
        <v>10.2.1</v>
      </c>
      <c r="J67" s="1012"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2">
        <f>INDEX(TEMPLATE_NOTE_POINT_FHD,B67,MATCH(TEMPLATE_SPHERE,TEMPLATE_SPHERE_LIST_FOR_NOTE,0))</f>
        <v>0</v>
      </c>
      <c r="L67" s="851" t="str">
        <f>IF(I67=0,"",I67)</f>
        <v>10.2.1</v>
      </c>
      <c r="M67" s="851" t="str">
        <f>IF(J67=0,"",J67)</f>
        <v>Объём отпущенной потребителям воды, определенный по нормативам потребления коммунальных услуг</v>
      </c>
      <c r="N67" s="851" t="str">
        <f>IF(K67=0,"",K67)</f>
        <v/>
      </c>
      <c r="O67" s="964"/>
      <c r="P67" s="964" t="s">
        <v>2248</v>
      </c>
      <c r="Q67" s="964"/>
      <c r="R67" s="964"/>
      <c r="S67" s="964"/>
      <c r="T67" s="850"/>
      <c r="U67" s="850" t="s">
        <v>2249</v>
      </c>
      <c r="V67" s="850"/>
      <c r="W67" s="850"/>
      <c r="X67" s="850"/>
      <c r="Y67" s="1007"/>
      <c r="Z67" s="853"/>
      <c r="AA67" s="856"/>
      <c r="AB67" s="853"/>
      <c r="AC67" s="853"/>
      <c r="AD67" s="853"/>
    </row>
    <row customHeight="1" ht="27">
      <c r="A68" s="852"/>
      <c r="B68" s="906">
        <v>51</v>
      </c>
      <c r="C68" s="850"/>
      <c r="D68" s="974"/>
      <c r="E68" s="850"/>
      <c r="F68" s="850"/>
      <c r="G68" s="850"/>
      <c r="H68" s="898"/>
      <c r="I68" s="1012" t="str">
        <f>INDEX(TEMPLATE_NUMBER_POINT_FHD,B68,MATCH(TEMPLATE_SPHERE,TEMPLATE_SPHERE_LIST_FOR_NOTE,0))</f>
        <v>10.2.2</v>
      </c>
      <c r="J68" s="1012"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2">
        <f>INDEX(TEMPLATE_NOTE_POINT_FHD,B68,MATCH(TEMPLATE_SPHERE,TEMPLATE_SPHERE_LIST_FOR_NOTE,0))</f>
        <v>0</v>
      </c>
      <c r="L68" s="851" t="str">
        <f>IF(I68=0,"",I68)</f>
        <v>10.2.2</v>
      </c>
      <c r="M68" s="851" t="str">
        <f>IF(J68=0,"",J68)</f>
        <v>Объём отпущенной потребителям воды, определенный по нормативам потребления коммунальных ресурсов </v>
      </c>
      <c r="N68" s="851" t="str">
        <f>IF(K68=0,"",K68)</f>
        <v/>
      </c>
      <c r="O68" s="964"/>
      <c r="P68" s="964" t="s">
        <v>2250</v>
      </c>
      <c r="Q68" s="964"/>
      <c r="R68" s="964"/>
      <c r="S68" s="964"/>
      <c r="T68" s="850"/>
      <c r="U68" s="850" t="s">
        <v>2251</v>
      </c>
      <c r="V68" s="850"/>
      <c r="W68" s="850"/>
      <c r="X68" s="850"/>
      <c r="Y68" s="1007"/>
      <c r="Z68" s="853"/>
      <c r="AA68" s="856"/>
      <c r="AB68" s="853"/>
      <c r="AC68" s="853"/>
      <c r="AD68" s="853"/>
    </row>
    <row customHeight="1" ht="9">
      <c r="A69" s="852"/>
      <c r="B69" s="906">
        <v>52</v>
      </c>
      <c r="C69" s="850"/>
      <c r="D69" s="974" t="s">
        <v>2252</v>
      </c>
      <c r="E69" s="850"/>
      <c r="F69" s="850"/>
      <c r="G69" s="850"/>
      <c r="H69" s="898"/>
      <c r="I69" s="1012" t="str">
        <f>INDEX(TEMPLATE_NUMBER_POINT_FHD,B69,MATCH(TEMPLATE_SPHERE,TEMPLATE_SPHERE_LIST_FOR_NOTE,0))</f>
        <v>11</v>
      </c>
      <c r="J69" s="1012" t="str">
        <f>INDEX(TEMPLATE_DATA_POINT_FHD,B69,MATCH(TEMPLATE_SPHERE,TEMPLATE_SPHERE_LIST_FOR_NOTE,0))</f>
        <v>Потери воды в сетях</v>
      </c>
      <c r="K69" s="1012">
        <f>INDEX(TEMPLATE_NOTE_POINT_FHD,B69,MATCH(TEMPLATE_SPHERE,TEMPLATE_SPHERE_LIST_FOR_NOTE,0))</f>
        <v>0</v>
      </c>
      <c r="L69" s="851" t="str">
        <f>IF(I69=0,"",I69)</f>
        <v>11</v>
      </c>
      <c r="M69" s="851" t="str">
        <f>IF(J69=0,"",J69)</f>
        <v>Потери воды в сетях</v>
      </c>
      <c r="N69" s="851" t="str">
        <f>IF(K69=0,"",K69)</f>
        <v/>
      </c>
      <c r="O69" s="964"/>
      <c r="P69" s="964" t="s">
        <v>151</v>
      </c>
      <c r="Q69" s="964"/>
      <c r="R69" s="964"/>
      <c r="S69" s="964"/>
      <c r="T69" s="850"/>
      <c r="U69" s="850" t="s">
        <v>2253</v>
      </c>
      <c r="V69" s="850"/>
      <c r="W69" s="850"/>
      <c r="X69" s="850"/>
      <c r="Y69" s="1007"/>
      <c r="Z69" s="853"/>
      <c r="AA69" s="856"/>
      <c r="AB69" s="853"/>
      <c r="AC69" s="853"/>
      <c r="AD69" s="853"/>
    </row>
    <row customHeight="1" ht="27">
      <c r="A70" s="852"/>
      <c r="B70" s="906">
        <v>53</v>
      </c>
      <c r="C70" s="850"/>
      <c r="D70" s="974"/>
      <c r="E70" s="850" t="s">
        <v>2237</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92</v>
      </c>
      <c r="R70" s="964"/>
      <c r="S70" s="964"/>
      <c r="T70" s="850"/>
      <c r="U70" s="850"/>
      <c r="V70" s="850" t="s">
        <v>2254</v>
      </c>
      <c r="W70" s="850"/>
      <c r="X70" s="850"/>
      <c r="Y70" s="1007"/>
      <c r="Z70" s="853"/>
      <c r="AA70" s="856"/>
      <c r="AB70" s="853"/>
      <c r="AC70" s="853"/>
      <c r="AD70" s="853"/>
    </row>
    <row customHeight="1" ht="36">
      <c r="A71" s="852"/>
      <c r="B71" s="906">
        <v>54</v>
      </c>
      <c r="C71" s="850"/>
      <c r="D71" s="974"/>
      <c r="E71" s="850" t="s">
        <v>2239</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112</v>
      </c>
      <c r="R71" s="964"/>
      <c r="S71" s="964"/>
      <c r="T71" s="850"/>
      <c r="U71" s="850"/>
      <c r="V71" s="850" t="s">
        <v>2255</v>
      </c>
      <c r="W71" s="850"/>
      <c r="X71" s="850"/>
      <c r="Y71" s="1007"/>
      <c r="Z71" s="853"/>
      <c r="AA71" s="856"/>
      <c r="AB71" s="853"/>
      <c r="AC71" s="853"/>
      <c r="AD71" s="853"/>
    </row>
    <row customHeight="1" ht="27">
      <c r="A72" s="852"/>
      <c r="B72" s="906">
        <v>55</v>
      </c>
      <c r="C72" s="850"/>
      <c r="D72" s="974"/>
      <c r="E72" s="850" t="s">
        <v>2241</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149</v>
      </c>
      <c r="R72" s="964"/>
      <c r="S72" s="964"/>
      <c r="T72" s="850"/>
      <c r="U72" s="850"/>
      <c r="V72" s="850" t="s">
        <v>2256</v>
      </c>
      <c r="W72" s="850"/>
      <c r="X72" s="850"/>
      <c r="Y72" s="1007"/>
      <c r="Z72" s="853"/>
      <c r="AA72" s="856"/>
      <c r="AB72" s="853"/>
      <c r="AC72" s="853"/>
      <c r="AD72" s="853"/>
    </row>
    <row customHeight="1" ht="36">
      <c r="A73" s="852"/>
      <c r="B73" s="906">
        <v>56</v>
      </c>
      <c r="C73" s="850"/>
      <c r="D73" s="974"/>
      <c r="E73" s="850" t="s">
        <v>2243</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150</v>
      </c>
      <c r="R73" s="964"/>
      <c r="S73" s="964"/>
      <c r="T73" s="850"/>
      <c r="U73" s="850"/>
      <c r="V73" s="850" t="s">
        <v>2257</v>
      </c>
      <c r="W73" s="850"/>
      <c r="X73" s="850"/>
      <c r="Y73" s="1007"/>
      <c r="Z73" s="853"/>
      <c r="AA73" s="856"/>
      <c r="AB73" s="853"/>
      <c r="AC73" s="853"/>
      <c r="AD73" s="853"/>
    </row>
    <row customHeight="1" ht="18">
      <c r="A74" s="852"/>
      <c r="B74" s="906">
        <v>57</v>
      </c>
      <c r="C74" s="850"/>
      <c r="D74" s="974"/>
      <c r="E74" s="850" t="s">
        <v>2252</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151</v>
      </c>
      <c r="R74" s="964"/>
      <c r="S74" s="964"/>
      <c r="T74" s="850"/>
      <c r="U74" s="850"/>
      <c r="V74" s="850" t="s">
        <v>2258</v>
      </c>
      <c r="W74" s="850"/>
      <c r="X74" s="850"/>
      <c r="Y74" s="1007"/>
      <c r="Z74" s="853"/>
      <c r="AA74" s="856"/>
      <c r="AB74" s="853"/>
      <c r="AC74" s="853"/>
      <c r="AD74" s="853"/>
    </row>
    <row customHeight="1" ht="18">
      <c r="A75" s="852"/>
      <c r="B75" s="906">
        <v>58</v>
      </c>
      <c r="C75" s="850"/>
      <c r="D75" s="974"/>
      <c r="E75" s="850"/>
      <c r="F75" s="850" t="s">
        <v>2237</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92</v>
      </c>
      <c r="S75" s="964"/>
      <c r="T75" s="850"/>
      <c r="U75" s="850"/>
      <c r="V75" s="850"/>
      <c r="W75" s="850" t="s">
        <v>2259</v>
      </c>
      <c r="X75" s="850"/>
      <c r="Y75" s="1007"/>
      <c r="Z75" s="853"/>
      <c r="AA75" s="856"/>
      <c r="AB75" s="853"/>
      <c r="AC75" s="853"/>
      <c r="AD75" s="853"/>
    </row>
    <row customHeight="1" ht="36">
      <c r="A76" s="852"/>
      <c r="B76" s="906">
        <v>59</v>
      </c>
      <c r="C76" s="850"/>
      <c r="D76" s="974"/>
      <c r="E76" s="850"/>
      <c r="F76" s="850" t="s">
        <v>2239</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112</v>
      </c>
      <c r="S76" s="964"/>
      <c r="T76" s="850"/>
      <c r="U76" s="850"/>
      <c r="V76" s="850"/>
      <c r="W76" s="850" t="s">
        <v>2260</v>
      </c>
      <c r="X76" s="850"/>
      <c r="Y76" s="1007"/>
      <c r="Z76" s="853"/>
      <c r="AA76" s="856"/>
      <c r="AB76" s="853"/>
      <c r="AC76" s="853"/>
      <c r="AD76" s="853"/>
    </row>
    <row customHeight="1" ht="18">
      <c r="A77" s="852"/>
      <c r="B77" s="906">
        <v>60</v>
      </c>
      <c r="C77" s="850"/>
      <c r="D77" s="974"/>
      <c r="E77" s="850"/>
      <c r="F77" s="850" t="s">
        <v>2241</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149</v>
      </c>
      <c r="S77" s="964"/>
      <c r="T77" s="850"/>
      <c r="U77" s="850"/>
      <c r="V77" s="850"/>
      <c r="W77" s="850" t="s">
        <v>2261</v>
      </c>
      <c r="X77" s="850"/>
      <c r="Y77" s="1007"/>
      <c r="Z77" s="853"/>
      <c r="AA77" s="856"/>
      <c r="AB77" s="853"/>
      <c r="AC77" s="853"/>
      <c r="AD77" s="853"/>
    </row>
    <row customHeight="1" ht="72">
      <c r="A78" s="852"/>
      <c r="B78" s="906">
        <v>61</v>
      </c>
      <c r="C78" s="850" t="s">
        <v>2237</v>
      </c>
      <c r="D78" s="974"/>
      <c r="E78" s="850"/>
      <c r="F78" s="850"/>
      <c r="G78" s="850"/>
      <c r="H78" s="898"/>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1" t="str">
        <f>IF(I78=0,"",I78)</f>
        <v/>
      </c>
      <c r="M78" s="851" t="str">
        <f>IF(J78=0,"",J78)</f>
        <v/>
      </c>
      <c r="N78" s="851" t="str">
        <f>IF(K78=0,"",K78)</f>
        <v/>
      </c>
      <c r="O78" s="964" t="s">
        <v>92</v>
      </c>
      <c r="P78" s="964"/>
      <c r="Q78" s="964"/>
      <c r="R78" s="964"/>
      <c r="S78" s="964"/>
      <c r="T78" s="850" t="s">
        <v>663</v>
      </c>
      <c r="U78" s="850"/>
      <c r="V78" s="850"/>
      <c r="W78" s="850"/>
      <c r="X78" s="850"/>
      <c r="Y78" s="1007"/>
      <c r="Z78" s="853" t="s">
        <v>2262</v>
      </c>
      <c r="AA78" s="856"/>
      <c r="AB78" s="853"/>
      <c r="AC78" s="853"/>
      <c r="AD78" s="853"/>
    </row>
    <row customHeight="1" ht="36">
      <c r="A79" s="852"/>
      <c r="B79" s="906">
        <v>62</v>
      </c>
      <c r="C79" s="850" t="s">
        <v>2239</v>
      </c>
      <c r="D79" s="974"/>
      <c r="E79" s="850"/>
      <c r="F79" s="850"/>
      <c r="G79" s="850"/>
      <c r="H79" s="898"/>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1" t="str">
        <f>IF(I79=0,"",I79)</f>
        <v/>
      </c>
      <c r="M79" s="851" t="str">
        <f>IF(J79=0,"",J79)</f>
        <v/>
      </c>
      <c r="N79" s="851" t="str">
        <f>IF(K79=0,"",K79)</f>
        <v/>
      </c>
      <c r="O79" s="964" t="s">
        <v>112</v>
      </c>
      <c r="P79" s="964"/>
      <c r="Q79" s="964"/>
      <c r="R79" s="964"/>
      <c r="S79" s="964"/>
      <c r="T79" s="850" t="s">
        <v>2263</v>
      </c>
      <c r="U79" s="850"/>
      <c r="V79" s="850"/>
      <c r="W79" s="850"/>
      <c r="X79" s="850"/>
      <c r="Y79" s="1007"/>
      <c r="Z79" s="853" t="s">
        <v>2264</v>
      </c>
      <c r="AA79" s="856"/>
      <c r="AB79" s="853"/>
      <c r="AC79" s="853"/>
      <c r="AD79" s="853"/>
    </row>
    <row customHeight="1" ht="45">
      <c r="A80" s="852"/>
      <c r="B80" s="906">
        <v>63</v>
      </c>
      <c r="C80" s="850" t="s">
        <v>2241</v>
      </c>
      <c r="D80" s="974"/>
      <c r="E80" s="850"/>
      <c r="F80" s="850"/>
      <c r="G80" s="850"/>
      <c r="H80" s="898"/>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1" t="str">
        <f>IF(I80=0,"",I80)</f>
        <v/>
      </c>
      <c r="M80" s="851" t="str">
        <f>IF(J80=0,"",J80)</f>
        <v/>
      </c>
      <c r="N80" s="851" t="str">
        <f>IF(K80=0,"",K80)</f>
        <v/>
      </c>
      <c r="O80" s="964" t="s">
        <v>149</v>
      </c>
      <c r="P80" s="964"/>
      <c r="Q80" s="964"/>
      <c r="R80" s="964"/>
      <c r="S80" s="964"/>
      <c r="T80" s="850" t="s">
        <v>2265</v>
      </c>
      <c r="U80" s="850"/>
      <c r="V80" s="850"/>
      <c r="W80" s="850"/>
      <c r="X80" s="850"/>
      <c r="Y80" s="1007"/>
      <c r="Z80" s="853" t="s">
        <v>2266</v>
      </c>
      <c r="AA80" s="856"/>
      <c r="AB80" s="853"/>
      <c r="AC80" s="853"/>
      <c r="AD80" s="853"/>
    </row>
    <row customHeight="1" ht="36">
      <c r="A81" s="852"/>
      <c r="B81" s="906">
        <v>64</v>
      </c>
      <c r="C81" s="850" t="s">
        <v>2243</v>
      </c>
      <c r="D81" s="974"/>
      <c r="E81" s="850"/>
      <c r="F81" s="850"/>
      <c r="G81" s="850"/>
      <c r="H81" s="898"/>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1" t="str">
        <f>IF(I81=0,"",I81)</f>
        <v/>
      </c>
      <c r="M81" s="851" t="str">
        <f>IF(J81=0,"",J81)</f>
        <v/>
      </c>
      <c r="N81" s="851" t="str">
        <f>IF(K81=0,"",K81)</f>
        <v/>
      </c>
      <c r="O81" s="964" t="s">
        <v>2152</v>
      </c>
      <c r="P81" s="964"/>
      <c r="Q81" s="964"/>
      <c r="R81" s="964"/>
      <c r="S81" s="964"/>
      <c r="T81" s="850" t="s">
        <v>2267</v>
      </c>
      <c r="U81" s="850"/>
      <c r="V81" s="850"/>
      <c r="W81" s="850"/>
      <c r="X81" s="850"/>
      <c r="Y81" s="1007"/>
      <c r="Z81" s="853" t="s">
        <v>2268</v>
      </c>
      <c r="AA81" s="856"/>
      <c r="AB81" s="853"/>
      <c r="AC81" s="853"/>
      <c r="AD81" s="853"/>
    </row>
    <row customHeight="1" ht="90">
      <c r="A82" s="852"/>
      <c r="B82" s="906">
        <v>65</v>
      </c>
      <c r="C82" s="850" t="s">
        <v>2252</v>
      </c>
      <c r="D82" s="974"/>
      <c r="E82" s="850"/>
      <c r="F82" s="850"/>
      <c r="G82" s="850"/>
      <c r="H82" s="898"/>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1" t="str">
        <f>IF(I82=0,"",I82)</f>
        <v/>
      </c>
      <c r="M82" s="851" t="str">
        <f>IF(J82=0,"",J82)</f>
        <v/>
      </c>
      <c r="N82" s="851" t="str">
        <f>IF(K82=0,"",K82)</f>
        <v/>
      </c>
      <c r="O82" s="964" t="s">
        <v>150</v>
      </c>
      <c r="P82" s="964"/>
      <c r="Q82" s="964"/>
      <c r="R82" s="964"/>
      <c r="S82" s="964"/>
      <c r="T82" s="850" t="s">
        <v>2269</v>
      </c>
      <c r="U82" s="850"/>
      <c r="V82" s="850"/>
      <c r="W82" s="850"/>
      <c r="X82" s="850"/>
      <c r="Y82" s="1007"/>
      <c r="Z82" s="853" t="s">
        <v>2270</v>
      </c>
      <c r="AA82" s="856"/>
      <c r="AB82" s="853"/>
      <c r="AC82" s="853"/>
      <c r="AD82" s="853"/>
    </row>
    <row customHeight="1" ht="9">
      <c r="A83" s="852"/>
      <c r="B83" s="906">
        <v>66</v>
      </c>
      <c r="C83" s="850"/>
      <c r="D83" s="974"/>
      <c r="E83" s="850"/>
      <c r="F83" s="850"/>
      <c r="G83" s="850"/>
      <c r="H83" s="898"/>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1" t="str">
        <f>IF(I83=0,"",I83)</f>
        <v/>
      </c>
      <c r="M83" s="851" t="str">
        <f>IF(J83=0,"",J83)</f>
        <v/>
      </c>
      <c r="N83" s="851" t="str">
        <f>IF(K83=0,"",K83)</f>
        <v/>
      </c>
      <c r="O83" s="964" t="s">
        <v>2161</v>
      </c>
      <c r="P83" s="964"/>
      <c r="Q83" s="964"/>
      <c r="R83" s="964"/>
      <c r="S83" s="964"/>
      <c r="T83" s="850" t="s">
        <v>2271</v>
      </c>
      <c r="U83" s="850"/>
      <c r="V83" s="850"/>
      <c r="W83" s="850"/>
      <c r="X83" s="850"/>
      <c r="Y83" s="1007"/>
      <c r="Z83" s="853"/>
      <c r="AA83" s="856"/>
      <c r="AB83" s="853"/>
      <c r="AC83" s="853"/>
      <c r="AD83" s="853"/>
    </row>
    <row customHeight="1" ht="54">
      <c r="A84" s="852"/>
      <c r="B84" s="906">
        <v>67</v>
      </c>
      <c r="C84" s="850"/>
      <c r="D84" s="974"/>
      <c r="E84" s="850"/>
      <c r="F84" s="850"/>
      <c r="G84" s="850"/>
      <c r="H84" s="898"/>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1" t="str">
        <f>IF(I84=0,"",I84)</f>
        <v/>
      </c>
      <c r="M84" s="851" t="str">
        <f>IF(J84=0,"",J84)</f>
        <v/>
      </c>
      <c r="N84" s="851" t="str">
        <f>IF(K84=0,"",K84)</f>
        <v/>
      </c>
      <c r="O84" s="964" t="s">
        <v>2272</v>
      </c>
      <c r="P84" s="964"/>
      <c r="Q84" s="964"/>
      <c r="R84" s="964"/>
      <c r="S84" s="964"/>
      <c r="T84" s="850" t="s">
        <v>2273</v>
      </c>
      <c r="U84" s="850"/>
      <c r="V84" s="850"/>
      <c r="W84" s="850"/>
      <c r="X84" s="850"/>
      <c r="Y84" s="1007"/>
      <c r="Z84" s="853"/>
      <c r="AA84" s="856"/>
      <c r="AB84" s="853"/>
      <c r="AC84" s="853"/>
      <c r="AD84" s="853"/>
    </row>
    <row customHeight="1" ht="9">
      <c r="A85" s="852"/>
      <c r="B85" s="906">
        <v>68</v>
      </c>
      <c r="C85" s="850"/>
      <c r="D85" s="974"/>
      <c r="E85" s="850"/>
      <c r="F85" s="850"/>
      <c r="G85" s="850"/>
      <c r="H85" s="898"/>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1" t="str">
        <f>IF(I85=0,"",I85)</f>
        <v/>
      </c>
      <c r="M85" s="851" t="str">
        <f>IF(J85=0,"",J85)</f>
        <v/>
      </c>
      <c r="N85" s="851" t="str">
        <f>IF(K85=0,"",K85)</f>
        <v/>
      </c>
      <c r="O85" s="964" t="s">
        <v>2165</v>
      </c>
      <c r="P85" s="964"/>
      <c r="Q85" s="964"/>
      <c r="R85" s="964"/>
      <c r="S85" s="964"/>
      <c r="T85" s="850" t="s">
        <v>2274</v>
      </c>
      <c r="U85" s="850"/>
      <c r="V85" s="850"/>
      <c r="W85" s="850"/>
      <c r="X85" s="850"/>
      <c r="Y85" s="1007"/>
      <c r="Z85" s="853"/>
      <c r="AA85" s="856"/>
      <c r="AB85" s="853"/>
      <c r="AC85" s="853"/>
      <c r="AD85" s="853"/>
    </row>
    <row customHeight="1" ht="27">
      <c r="A86" s="852"/>
      <c r="B86" s="906">
        <v>69</v>
      </c>
      <c r="C86" s="850"/>
      <c r="D86" s="974"/>
      <c r="E86" s="850"/>
      <c r="F86" s="850"/>
      <c r="G86" s="850"/>
      <c r="H86" s="898"/>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1" t="str">
        <f>IF(I86=0,"",I86)</f>
        <v/>
      </c>
      <c r="M86" s="851" t="str">
        <f>IF(J86=0,"",J86)</f>
        <v/>
      </c>
      <c r="N86" s="851" t="str">
        <f>IF(K86=0,"",K86)</f>
        <v/>
      </c>
      <c r="O86" s="964" t="s">
        <v>2275</v>
      </c>
      <c r="P86" s="964"/>
      <c r="Q86" s="964"/>
      <c r="R86" s="964"/>
      <c r="S86" s="964"/>
      <c r="T86" s="850" t="s">
        <v>2276</v>
      </c>
      <c r="U86" s="850"/>
      <c r="V86" s="850"/>
      <c r="W86" s="850"/>
      <c r="X86" s="850"/>
      <c r="Y86" s="1007"/>
      <c r="Z86" s="853"/>
      <c r="AA86" s="856"/>
      <c r="AB86" s="853"/>
      <c r="AC86" s="853"/>
      <c r="AD86" s="853"/>
    </row>
    <row customHeight="1" ht="36">
      <c r="A87" s="852"/>
      <c r="B87" s="906">
        <v>70</v>
      </c>
      <c r="C87" s="850" t="s">
        <v>2277</v>
      </c>
      <c r="D87" s="974"/>
      <c r="E87" s="850"/>
      <c r="F87" s="850"/>
      <c r="G87" s="850"/>
      <c r="H87" s="898"/>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1" t="str">
        <f>IF(I87=0,"",I87)</f>
        <v/>
      </c>
      <c r="M87" s="851" t="str">
        <f>IF(J87=0,"",J87)</f>
        <v/>
      </c>
      <c r="N87" s="851" t="str">
        <f>IF(K87=0,"",K87)</f>
        <v/>
      </c>
      <c r="O87" s="964" t="s">
        <v>151</v>
      </c>
      <c r="P87" s="964"/>
      <c r="Q87" s="964"/>
      <c r="R87" s="964"/>
      <c r="S87" s="964"/>
      <c r="T87" s="850" t="s">
        <v>2278</v>
      </c>
      <c r="U87" s="850"/>
      <c r="V87" s="850"/>
      <c r="W87" s="850"/>
      <c r="X87" s="850"/>
      <c r="Y87" s="1007"/>
      <c r="Z87" s="853"/>
      <c r="AA87" s="856"/>
      <c r="AB87" s="853"/>
      <c r="AC87" s="853"/>
      <c r="AD87" s="853"/>
    </row>
    <row customHeight="1" ht="18">
      <c r="A88" s="852"/>
      <c r="B88" s="906">
        <v>71</v>
      </c>
      <c r="C88" s="850" t="s">
        <v>2279</v>
      </c>
      <c r="D88" s="974"/>
      <c r="E88" s="850"/>
      <c r="F88" s="850"/>
      <c r="G88" s="850"/>
      <c r="H88" s="898"/>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1" t="str">
        <f>IF(I88=0,"",I88)</f>
        <v/>
      </c>
      <c r="M88" s="851" t="str">
        <f>IF(J88=0,"",J88)</f>
        <v/>
      </c>
      <c r="N88" s="851" t="str">
        <f>IF(K88=0,"",K88)</f>
        <v/>
      </c>
      <c r="O88" s="964" t="s">
        <v>152</v>
      </c>
      <c r="P88" s="964"/>
      <c r="Q88" s="964"/>
      <c r="R88" s="964"/>
      <c r="S88" s="964"/>
      <c r="T88" s="850" t="s">
        <v>695</v>
      </c>
      <c r="U88" s="850"/>
      <c r="V88" s="850"/>
      <c r="W88" s="850"/>
      <c r="X88" s="850"/>
      <c r="Y88" s="1007"/>
      <c r="Z88" s="853"/>
      <c r="AA88" s="856"/>
      <c r="AB88" s="853"/>
      <c r="AC88" s="853"/>
      <c r="AD88" s="853"/>
    </row>
    <row customHeight="1" ht="18">
      <c r="A89" s="852"/>
      <c r="B89" s="906">
        <v>72</v>
      </c>
      <c r="C89" s="850" t="s">
        <v>2280</v>
      </c>
      <c r="D89" s="974" t="s">
        <v>2277</v>
      </c>
      <c r="E89" s="850" t="s">
        <v>2277</v>
      </c>
      <c r="F89" s="850" t="s">
        <v>2243</v>
      </c>
      <c r="G89" s="850"/>
      <c r="H89" s="898"/>
      <c r="I89" s="1012" t="str">
        <f>INDEX(TEMPLATE_NUMBER_POINT_FHD,B89,MATCH(TEMPLATE_SPHERE,TEMPLATE_SPHERE_LIST_FOR_NOTE,0))</f>
        <v>12</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12</v>
      </c>
      <c r="M89" s="851" t="str">
        <f>IF(J89=0,"",J89)</f>
        <v>Среднесписочная численность основного производственного персонала</v>
      </c>
      <c r="N89" s="851" t="str">
        <f>IF(K89=0,"",K89)</f>
        <v/>
      </c>
      <c r="O89" s="964" t="s">
        <v>153</v>
      </c>
      <c r="P89" s="964" t="s">
        <v>152</v>
      </c>
      <c r="Q89" s="964" t="s">
        <v>152</v>
      </c>
      <c r="R89" s="964" t="s">
        <v>150</v>
      </c>
      <c r="S89" s="964"/>
      <c r="T89" s="850" t="s">
        <v>703</v>
      </c>
      <c r="U89" s="850" t="s">
        <v>703</v>
      </c>
      <c r="V89" s="850" t="s">
        <v>703</v>
      </c>
      <c r="W89" s="850" t="s">
        <v>703</v>
      </c>
      <c r="X89" s="850"/>
      <c r="Y89" s="1007"/>
      <c r="Z89" s="853"/>
      <c r="AA89" s="856"/>
      <c r="AB89" s="853"/>
      <c r="AC89" s="853"/>
      <c r="AD89" s="853"/>
    </row>
    <row customHeight="1" ht="27">
      <c r="A90" s="852"/>
      <c r="B90" s="906">
        <v>73</v>
      </c>
      <c r="C90" s="850" t="s">
        <v>2281</v>
      </c>
      <c r="D90" s="974"/>
      <c r="E90" s="850"/>
      <c r="F90" s="850"/>
      <c r="G90" s="850"/>
      <c r="H90" s="898"/>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1" t="str">
        <f>IF(I90=0,"",I90)</f>
        <v/>
      </c>
      <c r="M90" s="851" t="str">
        <f>IF(J90=0,"",J90)</f>
        <v/>
      </c>
      <c r="N90" s="851" t="str">
        <f>IF(K90=0,"",K90)</f>
        <v/>
      </c>
      <c r="O90" s="964" t="s">
        <v>154</v>
      </c>
      <c r="P90" s="964"/>
      <c r="Q90" s="964"/>
      <c r="R90" s="964"/>
      <c r="S90" s="964"/>
      <c r="T90" s="850" t="s">
        <v>705</v>
      </c>
      <c r="U90" s="850"/>
      <c r="V90" s="850"/>
      <c r="W90" s="850"/>
      <c r="X90" s="850"/>
      <c r="Y90" s="1007"/>
      <c r="Z90" s="853"/>
      <c r="AA90" s="856"/>
      <c r="AB90" s="853"/>
      <c r="AC90" s="853"/>
      <c r="AD90" s="853"/>
    </row>
    <row customHeight="1" ht="18">
      <c r="A91" s="852"/>
      <c r="B91" s="906">
        <v>74</v>
      </c>
      <c r="C91" s="850"/>
      <c r="D91" s="974" t="s">
        <v>2279</v>
      </c>
      <c r="E91" s="850" t="s">
        <v>2279</v>
      </c>
      <c r="F91" s="850"/>
      <c r="G91" s="850"/>
      <c r="H91" s="898"/>
      <c r="I91" s="1012" t="str">
        <f>INDEX(TEMPLATE_NUMBER_POINT_FHD,B91,MATCH(TEMPLATE_SPHERE,TEMPLATE_SPHERE_LIST_FOR_NOTE,0))</f>
        <v>13</v>
      </c>
      <c r="J91" s="1012" t="str">
        <f>INDEX(TEMPLATE_DATA_POINT_FHD,B91,MATCH(TEMPLATE_SPHERE,TEMPLATE_SPHERE_LIST_FOR_NOTE,0))</f>
        <v>Удельный расход электрической энергии на подачу воды в сеть</v>
      </c>
      <c r="K91" s="1012">
        <f>INDEX(TEMPLATE_NOTE_POINT_FHD,B91,MATCH(TEMPLATE_SPHERE,TEMPLATE_SPHERE_LIST_FOR_NOTE,0))</f>
        <v>0</v>
      </c>
      <c r="L91" s="851" t="str">
        <f>IF(I91=0,"",I91)</f>
        <v>13</v>
      </c>
      <c r="M91" s="851" t="str">
        <f>IF(J91=0,"",J91)</f>
        <v>Удельный расход электрической энергии на подачу воды в сеть</v>
      </c>
      <c r="N91" s="851" t="str">
        <f>IF(K91=0,"",K91)</f>
        <v/>
      </c>
      <c r="O91" s="964"/>
      <c r="P91" s="964" t="s">
        <v>153</v>
      </c>
      <c r="Q91" s="964" t="s">
        <v>153</v>
      </c>
      <c r="R91" s="964"/>
      <c r="S91" s="964"/>
      <c r="T91" s="850"/>
      <c r="U91" s="850" t="s">
        <v>2282</v>
      </c>
      <c r="V91" s="850" t="s">
        <v>2282</v>
      </c>
      <c r="W91" s="850"/>
      <c r="X91" s="850"/>
      <c r="Y91" s="1007"/>
      <c r="Z91" s="853"/>
      <c r="AA91" s="856"/>
      <c r="AB91" s="853"/>
      <c r="AC91" s="853"/>
      <c r="AD91" s="853"/>
    </row>
    <row customHeight="1" ht="27">
      <c r="A92" s="852"/>
      <c r="B92" s="906">
        <v>75</v>
      </c>
      <c r="C92" s="850"/>
      <c r="D92" s="974" t="s">
        <v>2280</v>
      </c>
      <c r="E92" s="850"/>
      <c r="F92" s="850"/>
      <c r="G92" s="850"/>
      <c r="H92" s="898"/>
      <c r="I92" s="1012" t="str">
        <f>INDEX(TEMPLATE_NUMBER_POINT_FHD,B92,MATCH(TEMPLATE_SPHERE,TEMPLATE_SPHERE_LIST_FOR_NOTE,0))</f>
        <v>14</v>
      </c>
      <c r="J92" s="1012" t="str">
        <f>INDEX(TEMPLATE_DATA_POINT_FHD,B92,MATCH(TEMPLATE_SPHERE,TEMPLATE_SPHERE_LIST_FOR_NOTE,0))</f>
        <v>Расход воды на собственные нужды, в том числе:</v>
      </c>
      <c r="K92" s="1012" t="str">
        <f>INDEX(TEMPLATE_NOTE_POINT_FHD,B92,MATCH(TEMPLATE_SPHERE,TEMPLATE_SPHERE_LIST_FOR_NOTE,0))</f>
        <v>Указывается доля общего расхода воды на собственные нужны от объема отпуска воды потребителям.</v>
      </c>
      <c r="L92" s="851" t="str">
        <f>IF(I92=0,"",I92)</f>
        <v>14</v>
      </c>
      <c r="M92" s="851" t="str">
        <f>IF(J92=0,"",J92)</f>
        <v>Расход воды на собственные нужды, в том числе:</v>
      </c>
      <c r="N92" s="851" t="str">
        <f>IF(K92=0,"",K92)</f>
        <v>Указывается доля общего расхода воды на собственные нужны от объема отпуска воды потребителям.</v>
      </c>
      <c r="O92" s="964"/>
      <c r="P92" s="964" t="s">
        <v>154</v>
      </c>
      <c r="Q92" s="964"/>
      <c r="R92" s="964"/>
      <c r="S92" s="964"/>
      <c r="T92" s="850"/>
      <c r="U92" s="850" t="s">
        <v>2283</v>
      </c>
      <c r="V92" s="850"/>
      <c r="W92" s="850"/>
      <c r="X92" s="850"/>
      <c r="Y92" s="1007"/>
      <c r="Z92" s="853"/>
      <c r="AA92" s="856" t="s">
        <v>2284</v>
      </c>
      <c r="AB92" s="853"/>
      <c r="AC92" s="853"/>
      <c r="AD92" s="853"/>
    </row>
    <row customHeight="1" ht="27">
      <c r="A93" s="852"/>
      <c r="B93" s="906">
        <v>76</v>
      </c>
      <c r="C93" s="850"/>
      <c r="D93" s="974"/>
      <c r="E93" s="850"/>
      <c r="F93" s="850"/>
      <c r="G93" s="850"/>
      <c r="H93" s="898"/>
      <c r="I93" s="1012" t="str">
        <f>INDEX(TEMPLATE_NUMBER_POINT_FHD,B93,MATCH(TEMPLATE_SPHERE,TEMPLATE_SPHERE_LIST_FOR_NOTE,0))</f>
        <v>14.1</v>
      </c>
      <c r="J93" s="1012" t="str">
        <f>INDEX(TEMPLATE_DATA_POINT_FHD,B93,MATCH(TEMPLATE_SPHERE,TEMPLATE_SPHERE_LIST_FOR_NOTE,0))</f>
        <v>Расход воды на хозяйственно-бытовые нужды</v>
      </c>
      <c r="K93" s="1012"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1" t="str">
        <f>IF(I93=0,"",I93)</f>
        <v>14.1</v>
      </c>
      <c r="M93" s="851" t="str">
        <f>IF(J93=0,"",J93)</f>
        <v>Расход воды на хозяйственно-бытовые нужды</v>
      </c>
      <c r="N93" s="851" t="str">
        <f>IF(K93=0,"",K93)</f>
        <v>Указывается доля расхода воды на хозяйственно-бытовые нужны от объема отпуска воды потребителям.</v>
      </c>
      <c r="O93" s="964"/>
      <c r="P93" s="964" t="s">
        <v>2192</v>
      </c>
      <c r="Q93" s="964"/>
      <c r="R93" s="964"/>
      <c r="S93" s="964"/>
      <c r="T93" s="850"/>
      <c r="U93" s="850" t="s">
        <v>2285</v>
      </c>
      <c r="V93" s="850"/>
      <c r="W93" s="850"/>
      <c r="X93" s="850"/>
      <c r="Y93" s="1007"/>
      <c r="Z93" s="853"/>
      <c r="AA93" s="856" t="s">
        <v>2286</v>
      </c>
      <c r="AB93" s="853"/>
      <c r="AC93" s="853"/>
      <c r="AD93" s="853"/>
    </row>
    <row customHeight="1" ht="45">
      <c r="A94" s="852"/>
      <c r="B94" s="906">
        <v>77</v>
      </c>
      <c r="C94" s="850"/>
      <c r="D94" s="974" t="s">
        <v>2281</v>
      </c>
      <c r="E94" s="850"/>
      <c r="F94" s="850"/>
      <c r="G94" s="850"/>
      <c r="H94" s="898"/>
      <c r="I94" s="1012" t="str">
        <f>INDEX(TEMPLATE_NUMBER_POINT_FHD,B94,MATCH(TEMPLATE_SPHERE,TEMPLATE_SPHERE_LIST_FOR_NOTE,0))</f>
        <v>15</v>
      </c>
      <c r="J94" s="1012" t="str">
        <f>INDEX(TEMPLATE_DATA_POINT_FHD,B94,MATCH(TEMPLATE_SPHERE,TEMPLATE_SPHERE_LIST_FOR_NOTE,0))</f>
        <v>Показатель использования производственных объектов (по объему перекачки), в том числе:</v>
      </c>
      <c r="K94" s="1012"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1" t="str">
        <f>IF(I94=0,"",I94)</f>
        <v>15</v>
      </c>
      <c r="M94" s="851" t="str">
        <f>IF(J94=0,"",J94)</f>
        <v>Показатель использования производственных объектов (по объему перекачки), в том числе:</v>
      </c>
      <c r="N94" s="851"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4"/>
      <c r="P94" s="964" t="s">
        <v>98</v>
      </c>
      <c r="Q94" s="964"/>
      <c r="R94" s="964"/>
      <c r="S94" s="964"/>
      <c r="T94" s="850"/>
      <c r="U94" s="850" t="s">
        <v>2287</v>
      </c>
      <c r="V94" s="850"/>
      <c r="W94" s="850"/>
      <c r="X94" s="850"/>
      <c r="Y94" s="1007"/>
      <c r="Z94" s="853"/>
      <c r="AA94" s="856" t="s">
        <v>2288</v>
      </c>
      <c r="AB94" s="853"/>
      <c r="AC94" s="853"/>
      <c r="AD94" s="853"/>
    </row>
    <row customHeight="1" ht="99">
      <c r="A95" s="852"/>
      <c r="B95" s="906">
        <v>78</v>
      </c>
      <c r="C95" s="850" t="s">
        <v>2289</v>
      </c>
      <c r="D95" s="974"/>
      <c r="E95" s="850"/>
      <c r="F95" s="850"/>
      <c r="G95" s="850"/>
      <c r="H95" s="898"/>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1" t="str">
        <f>IF(I95=0,"",I95)</f>
        <v/>
      </c>
      <c r="M95" s="851" t="str">
        <f>IF(J95=0,"",J95)</f>
        <v/>
      </c>
      <c r="N95" s="851" t="str">
        <f>IF(K95=0,"",K95)</f>
        <v/>
      </c>
      <c r="O95" s="964" t="s">
        <v>98</v>
      </c>
      <c r="P95" s="964"/>
      <c r="Q95" s="964"/>
      <c r="R95" s="964"/>
      <c r="S95" s="964"/>
      <c r="T95" s="850" t="s">
        <v>2290</v>
      </c>
      <c r="U95" s="850"/>
      <c r="V95" s="850"/>
      <c r="W95" s="850"/>
      <c r="X95" s="850"/>
      <c r="Y95" s="1007"/>
      <c r="Z95" s="853"/>
      <c r="AA95" s="856"/>
      <c r="AB95" s="853"/>
      <c r="AC95" s="853"/>
      <c r="AD95" s="853"/>
    </row>
    <row customHeight="1" ht="99">
      <c r="A96" s="852"/>
      <c r="B96" s="906">
        <v>79</v>
      </c>
      <c r="C96" s="850" t="s">
        <v>1246</v>
      </c>
      <c r="D96" s="974"/>
      <c r="E96" s="850"/>
      <c r="F96" s="850"/>
      <c r="G96" s="850"/>
      <c r="H96" s="898"/>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1" t="str">
        <f>IF(I96=0,"",I96)</f>
        <v/>
      </c>
      <c r="M96" s="851" t="str">
        <f>IF(J96=0,"",J96)</f>
        <v/>
      </c>
      <c r="N96" s="851" t="str">
        <f>IF(K96=0,"",K96)</f>
        <v/>
      </c>
      <c r="O96" s="964" t="s">
        <v>1558</v>
      </c>
      <c r="P96" s="964"/>
      <c r="Q96" s="964"/>
      <c r="R96" s="964"/>
      <c r="S96" s="964"/>
      <c r="T96" s="850" t="s">
        <v>2291</v>
      </c>
      <c r="U96" s="850"/>
      <c r="V96" s="850"/>
      <c r="W96" s="850"/>
      <c r="X96" s="850"/>
      <c r="Y96" s="1007"/>
      <c r="Z96" s="853" t="s">
        <v>2292</v>
      </c>
      <c r="AA96" s="856"/>
      <c r="AB96" s="853"/>
      <c r="AC96" s="853"/>
      <c r="AD96" s="853"/>
    </row>
    <row customHeight="1" ht="63">
      <c r="A97" s="852"/>
      <c r="B97" s="906">
        <v>80</v>
      </c>
      <c r="C97" s="850" t="s">
        <v>2293</v>
      </c>
      <c r="D97" s="974"/>
      <c r="E97" s="850"/>
      <c r="F97" s="850"/>
      <c r="G97" s="850"/>
      <c r="H97" s="898"/>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1" t="str">
        <f>IF(I97=0,"",I97)</f>
        <v/>
      </c>
      <c r="M97" s="851" t="str">
        <f>IF(J97=0,"",J97)</f>
        <v/>
      </c>
      <c r="N97" s="851" t="str">
        <f>IF(K97=0,"",K97)</f>
        <v/>
      </c>
      <c r="O97" s="964" t="s">
        <v>1570</v>
      </c>
      <c r="P97" s="964"/>
      <c r="Q97" s="964"/>
      <c r="R97" s="964"/>
      <c r="S97" s="964"/>
      <c r="T97" s="850" t="s">
        <v>2294</v>
      </c>
      <c r="U97" s="850"/>
      <c r="V97" s="850"/>
      <c r="W97" s="850"/>
      <c r="X97" s="850"/>
      <c r="Y97" s="1007"/>
      <c r="Z97" s="853" t="s">
        <v>2295</v>
      </c>
      <c r="AA97" s="856"/>
      <c r="AB97" s="853"/>
      <c r="AC97" s="853"/>
      <c r="AD97" s="853"/>
    </row>
    <row customHeight="1" ht="63">
      <c r="A98" s="852"/>
      <c r="B98" s="906">
        <v>81</v>
      </c>
      <c r="C98" s="850" t="s">
        <v>2296</v>
      </c>
      <c r="D98" s="974"/>
      <c r="E98" s="850"/>
      <c r="F98" s="850"/>
      <c r="G98" s="850"/>
      <c r="H98" s="898"/>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1" t="str">
        <f>IF(I98=0,"",I98)</f>
        <v/>
      </c>
      <c r="M98" s="851" t="str">
        <f>IF(J98=0,"",J98)</f>
        <v/>
      </c>
      <c r="N98" s="851" t="str">
        <f>IF(K98=0,"",K98)</f>
        <v/>
      </c>
      <c r="O98" s="964" t="s">
        <v>1584</v>
      </c>
      <c r="P98" s="964"/>
      <c r="Q98" s="964"/>
      <c r="R98" s="964"/>
      <c r="S98" s="964"/>
      <c r="T98" s="850" t="s">
        <v>2297</v>
      </c>
      <c r="U98" s="850"/>
      <c r="V98" s="850"/>
      <c r="W98" s="850"/>
      <c r="X98" s="850"/>
      <c r="Y98" s="1007"/>
      <c r="Z98" s="853" t="s">
        <v>2295</v>
      </c>
      <c r="AA98" s="856"/>
      <c r="AB98" s="853"/>
      <c r="AC98" s="853"/>
      <c r="AD98" s="853"/>
    </row>
    <row customHeight="1" ht="90">
      <c r="A99" s="852"/>
      <c r="B99" s="906">
        <v>82</v>
      </c>
      <c r="C99" s="850" t="s">
        <v>2298</v>
      </c>
      <c r="D99" s="974"/>
      <c r="E99" s="850"/>
      <c r="F99" s="850"/>
      <c r="G99" s="850"/>
      <c r="H99" s="898"/>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1" t="str">
        <f>IF(I99=0,"",I99)</f>
        <v/>
      </c>
      <c r="M99" s="851" t="str">
        <f>IF(J99=0,"",J99)</f>
        <v/>
      </c>
      <c r="N99" s="851" t="str">
        <f>IF(K99=0,"",K99)</f>
        <v/>
      </c>
      <c r="O99" s="964" t="s">
        <v>1596</v>
      </c>
      <c r="P99" s="964"/>
      <c r="Q99" s="964"/>
      <c r="R99" s="964"/>
      <c r="S99" s="964"/>
      <c r="T99" s="850" t="s">
        <v>2299</v>
      </c>
      <c r="U99" s="850"/>
      <c r="V99" s="850"/>
      <c r="W99" s="850"/>
      <c r="X99" s="850"/>
      <c r="Y99" s="1007"/>
      <c r="Z99" s="853" t="s">
        <v>660</v>
      </c>
      <c r="AA99" s="856"/>
      <c r="AB99" s="853"/>
      <c r="AC99" s="853"/>
      <c r="AD99" s="853"/>
    </row>
    <row customHeight="1" ht="27">
      <c r="A100" s="852"/>
      <c r="B100" s="906">
        <v>83</v>
      </c>
      <c r="C100" s="850"/>
      <c r="D100" s="974"/>
      <c r="E100" s="850"/>
      <c r="F100" s="850"/>
      <c r="G100" s="850"/>
      <c r="H100" s="898"/>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1" t="str">
        <f>IF(I100=0,"",I100)</f>
        <v/>
      </c>
      <c r="M100" s="851" t="str">
        <f>IF(J100=0,"",J100)</f>
        <v/>
      </c>
      <c r="N100" s="851" t="str">
        <f>IF(K100=0,"",K100)</f>
        <v/>
      </c>
      <c r="O100" s="964" t="s">
        <v>2300</v>
      </c>
      <c r="P100" s="964"/>
      <c r="Q100" s="964"/>
      <c r="R100" s="964"/>
      <c r="S100" s="964"/>
      <c r="T100" s="850" t="s">
        <v>2301</v>
      </c>
      <c r="U100" s="850"/>
      <c r="V100" s="850"/>
      <c r="W100" s="850"/>
      <c r="X100" s="850"/>
      <c r="Y100" s="1007"/>
      <c r="Z100" s="853" t="s">
        <v>660</v>
      </c>
      <c r="AA100" s="856"/>
      <c r="AB100" s="853"/>
      <c r="AC100" s="853"/>
      <c r="AD100" s="853"/>
    </row>
    <row customHeight="1" ht="27">
      <c r="A101" s="852"/>
      <c r="B101" s="906">
        <v>84</v>
      </c>
      <c r="C101" s="850"/>
      <c r="D101" s="974"/>
      <c r="E101" s="850"/>
      <c r="F101" s="850"/>
      <c r="G101" s="850"/>
      <c r="H101" s="898"/>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1" t="str">
        <f>IF(I101=0,"",I101)</f>
        <v/>
      </c>
      <c r="M101" s="851" t="str">
        <f>IF(J101=0,"",J101)</f>
        <v/>
      </c>
      <c r="N101" s="851" t="str">
        <f>IF(K101=0,"",K101)</f>
        <v/>
      </c>
      <c r="O101" s="964" t="s">
        <v>2302</v>
      </c>
      <c r="P101" s="964"/>
      <c r="Q101" s="964"/>
      <c r="R101" s="964"/>
      <c r="S101" s="964"/>
      <c r="T101" s="850" t="s">
        <v>2303</v>
      </c>
      <c r="U101" s="850"/>
      <c r="V101" s="850"/>
      <c r="W101" s="850"/>
      <c r="X101" s="850"/>
      <c r="Y101" s="1007"/>
      <c r="Z101" s="853" t="s">
        <v>660</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1749</v>
      </c>
      <c r="B148" s="852"/>
      <c r="C148" s="850" t="s">
        <v>2304</v>
      </c>
      <c r="D148" s="850" t="s">
        <v>1652</v>
      </c>
      <c r="E148" s="850" t="s">
        <v>1751</v>
      </c>
      <c r="F148" s="850" t="s">
        <v>2305</v>
      </c>
      <c r="G148" s="850"/>
      <c r="H148" s="850"/>
      <c r="I148" s="970"/>
      <c r="J148" s="970"/>
      <c r="K148" s="970"/>
      <c r="L148" s="970"/>
      <c r="M148" s="9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5"/>
      <c r="O148" s="850"/>
      <c r="P148" s="851"/>
      <c r="Q148" s="851"/>
      <c r="R148" s="851"/>
      <c r="S148" s="850"/>
      <c r="T148" s="850" t="s">
        <v>2306</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1"/>
      <c r="W148" s="851"/>
      <c r="X148" s="850" t="s">
        <v>2307</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1753</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1756</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1761</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CE71F-511C-F018-73FF-0.BCDF6C3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2" width="12.28125" hidden="1" customWidth="1"/>
    <col min="9" max="9" style="2417" width="3.00390625" customWidth="1"/>
    <col min="10" max="11" style="351" width="3.00390625" customWidth="1"/>
    <col min="12" max="12" style="2427"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23" t="s">
        <v>2308</v>
      </c>
      <c r="M5" s="2623"/>
      <c r="N5" s="2623"/>
      <c r="O5" s="2623"/>
      <c r="P5" s="2623"/>
      <c r="Q5" s="2623"/>
      <c r="R5" s="2623"/>
      <c r="S5" s="2623"/>
      <c r="T5" s="2623"/>
      <c r="U5" s="2623"/>
      <c r="V5" s="1250"/>
      <c r="AD5" s="1162">
        <v>64</v>
      </c>
    </row>
    <row customHeight="1" ht="14.699999999999998">
      <c r="J6" s="383"/>
      <c r="K6" s="383"/>
      <c r="L6" s="2624" t="str">
        <f>IF(org=0,"Не определено",org)</f>
        <v>ИМУП «ПОСЖИЛКОМСЕРВИС»</v>
      </c>
      <c r="M6" s="2624"/>
      <c r="N6" s="2624"/>
      <c r="O6" s="2624"/>
      <c r="P6" s="2624"/>
      <c r="Q6" s="2624"/>
      <c r="R6" s="2624"/>
      <c r="S6" s="2624"/>
      <c r="T6" s="2624"/>
      <c r="U6" s="2624"/>
      <c r="V6" s="1250"/>
      <c r="AD6" s="1162">
        <v>14</v>
      </c>
    </row>
    <row customHeight="1" ht="14.699999999999998">
      <c r="J7" s="383"/>
      <c r="K7" s="383"/>
      <c r="L7" s="1282"/>
      <c r="M7" s="370"/>
      <c r="N7" s="370"/>
      <c r="O7" s="329"/>
      <c r="P7" s="329"/>
      <c r="Q7" s="329"/>
      <c r="R7" s="329"/>
      <c r="S7" s="329"/>
      <c r="T7" s="329"/>
      <c r="U7" s="329"/>
      <c r="V7" s="329"/>
      <c r="W7" s="516"/>
      <c r="AD7" s="1162">
        <v>14</v>
      </c>
    </row>
    <row s="1857" customFormat="1" customHeight="1" ht="48.29999999999999">
      <c r="A8" s="1375"/>
      <c r="B8" s="1375"/>
      <c r="C8" s="1375"/>
      <c r="D8" s="1375"/>
      <c r="E8" s="1375"/>
      <c r="F8" s="1375"/>
      <c r="G8" s="1375"/>
      <c r="H8" s="1375"/>
      <c r="L8" s="1283"/>
      <c r="M8" s="302" t="s">
        <v>41</v>
      </c>
      <c r="N8" s="311"/>
      <c r="O8" s="2271" t="str">
        <f>IF(TITLE_NAME_OR_PR_CHANGE="",IF(TITLE_NAME_OR_PR="","",TITLE_NAME_OR_PR),TITLE_NAME_OR_PR_CHANGE)</f>
        <v/>
      </c>
      <c r="P8" s="2271"/>
      <c r="Q8" s="2271"/>
      <c r="R8" s="2271"/>
      <c r="S8" s="2271"/>
      <c r="T8" s="2271"/>
      <c r="U8" s="2271"/>
      <c r="V8" s="333"/>
      <c r="W8" s="333"/>
      <c r="X8" s="287"/>
      <c r="Y8" s="375"/>
      <c r="Z8" s="375"/>
      <c r="AA8" s="375"/>
      <c r="AB8" s="375"/>
      <c r="AC8" s="375"/>
      <c r="AD8" s="425">
        <v>46</v>
      </c>
    </row>
    <row s="1857" customFormat="1" customHeight="1" ht="24">
      <c r="A9" s="1375"/>
      <c r="B9" s="1375"/>
      <c r="C9" s="1375"/>
      <c r="D9" s="1375"/>
      <c r="E9" s="1375"/>
      <c r="F9" s="1375"/>
      <c r="G9" s="1375"/>
      <c r="H9" s="1375"/>
      <c r="L9" s="1283"/>
      <c r="M9" s="302" t="s">
        <v>422</v>
      </c>
      <c r="N9" s="311"/>
      <c r="O9" s="2271" t="str">
        <f>IF(TITLE_DATE_CHANGE_PERIOD="",IF(TITLE_DATE_PR="","",TITLE_DATE_PR),TITLE_DATE_CHANGE_PERIOD)</f>
        <v/>
      </c>
      <c r="P9" s="2271"/>
      <c r="Q9" s="2271"/>
      <c r="R9" s="2271"/>
      <c r="S9" s="2271"/>
      <c r="T9" s="2271"/>
      <c r="U9" s="2271"/>
      <c r="V9" s="333"/>
      <c r="W9" s="333"/>
      <c r="X9" s="287"/>
      <c r="Y9" s="375"/>
      <c r="Z9" s="375"/>
      <c r="AA9" s="375"/>
      <c r="AB9" s="375"/>
      <c r="AC9" s="375"/>
      <c r="AD9" s="425">
        <v>23</v>
      </c>
    </row>
    <row s="1857" customFormat="1" customHeight="1" ht="24">
      <c r="A10" s="1375"/>
      <c r="B10" s="1375"/>
      <c r="C10" s="1375"/>
      <c r="D10" s="1375"/>
      <c r="E10" s="1375"/>
      <c r="F10" s="1375"/>
      <c r="G10" s="1375"/>
      <c r="H10" s="1375"/>
      <c r="L10" s="1257"/>
      <c r="M10" s="302" t="s">
        <v>423</v>
      </c>
      <c r="N10" s="311"/>
      <c r="O10" s="2271" t="str">
        <f>IF(TITLE_NUMBER_PR_CHANGE="",IF(TITLE_NUMBER_PR="","",TITLE_NUMBER_PR),TITLE_NUMBER_PR_CHANGE)</f>
        <v/>
      </c>
      <c r="P10" s="2271"/>
      <c r="Q10" s="2271"/>
      <c r="R10" s="2271"/>
      <c r="S10" s="2271"/>
      <c r="T10" s="2271"/>
      <c r="U10" s="2271"/>
      <c r="V10" s="333"/>
      <c r="W10" s="333"/>
      <c r="X10" s="287"/>
      <c r="Y10" s="375"/>
      <c r="Z10" s="375"/>
      <c r="AA10" s="375"/>
      <c r="AB10" s="375"/>
      <c r="AC10" s="375"/>
      <c r="AD10" s="425">
        <v>23</v>
      </c>
    </row>
    <row s="1857" customFormat="1" customHeight="1" ht="24">
      <c r="A11" s="1375"/>
      <c r="B11" s="1375"/>
      <c r="C11" s="1375"/>
      <c r="D11" s="1375"/>
      <c r="E11" s="1375"/>
      <c r="F11" s="1375"/>
      <c r="G11" s="1375"/>
      <c r="H11" s="1375"/>
      <c r="L11" s="1257"/>
      <c r="M11" s="302" t="s">
        <v>42</v>
      </c>
      <c r="N11" s="311"/>
      <c r="O11" s="2271" t="str">
        <f>IF(TITLE_IST_PUB_CHANGE="",IF(TITLE_IST_PUB="","",TITLE_IST_PUB),TITLE_IST_PUB_CHANGE)</f>
        <v/>
      </c>
      <c r="P11" s="2271"/>
      <c r="Q11" s="2271"/>
      <c r="R11" s="2271"/>
      <c r="S11" s="2271"/>
      <c r="T11" s="2271"/>
      <c r="U11" s="2271"/>
      <c r="V11" s="333"/>
      <c r="W11" s="333"/>
      <c r="X11" s="287"/>
      <c r="Y11" s="375"/>
      <c r="Z11" s="375"/>
      <c r="AA11" s="375"/>
      <c r="AB11" s="375"/>
      <c r="AC11" s="375"/>
      <c r="AD11" s="425">
        <v>23</v>
      </c>
    </row>
    <row s="1857" customFormat="1" customHeight="1" ht="11.25" hidden="1">
      <c r="A12" s="1375"/>
      <c r="B12" s="1375"/>
      <c r="C12" s="1375"/>
      <c r="D12" s="1375"/>
      <c r="E12" s="1375"/>
      <c r="F12" s="1375"/>
      <c r="G12" s="1375"/>
      <c r="H12" s="1375"/>
      <c r="L12" s="2625"/>
      <c r="M12" s="2625"/>
      <c r="N12" s="1294"/>
      <c r="O12" s="333"/>
      <c r="P12" s="333"/>
      <c r="Q12" s="333"/>
      <c r="R12" s="333"/>
      <c r="S12" s="333"/>
      <c r="T12" s="333"/>
      <c r="U12" s="333"/>
      <c r="V12" s="285" t="s">
        <v>426</v>
      </c>
      <c r="Y12" s="375"/>
      <c r="Z12" s="375"/>
      <c r="AA12" s="375"/>
      <c r="AB12" s="375"/>
      <c r="AC12" s="375"/>
      <c r="AD12" s="425">
        <v>0</v>
      </c>
    </row>
    <row customHeight="1" ht="14.699999999999998">
      <c r="J13" s="383"/>
      <c r="K13" s="383"/>
      <c r="L13" s="1282"/>
      <c r="M13" s="370"/>
      <c r="N13" s="1251"/>
      <c r="O13" s="2272"/>
      <c r="P13" s="2272"/>
      <c r="Q13" s="2272"/>
      <c r="R13" s="2272"/>
      <c r="S13" s="2272"/>
      <c r="T13" s="2272"/>
      <c r="U13" s="2272"/>
      <c r="V13" s="2272"/>
      <c r="AD13" s="1162">
        <v>14</v>
      </c>
    </row>
    <row customHeight="1" ht="14.699999999999998">
      <c r="J14" s="383"/>
      <c r="K14" s="383"/>
      <c r="L14" s="2147" t="s">
        <v>299</v>
      </c>
      <c r="M14" s="2147"/>
      <c r="N14" s="2147"/>
      <c r="O14" s="2147"/>
      <c r="P14" s="2147"/>
      <c r="Q14" s="2147"/>
      <c r="R14" s="2147"/>
      <c r="S14" s="2147"/>
      <c r="T14" s="2147"/>
      <c r="U14" s="2147"/>
      <c r="V14" s="2147"/>
      <c r="W14" s="2147"/>
      <c r="X14" s="2147" t="s">
        <v>300</v>
      </c>
      <c r="AD14" s="1162">
        <v>14</v>
      </c>
    </row>
    <row customHeight="1" ht="14.699999999999998">
      <c r="J15" s="383"/>
      <c r="K15" s="383"/>
      <c r="L15" s="2293" t="s">
        <v>87</v>
      </c>
      <c r="M15" s="2229" t="s">
        <v>427</v>
      </c>
      <c r="N15" s="308"/>
      <c r="O15" s="2294" t="s">
        <v>2309</v>
      </c>
      <c r="P15" s="2295"/>
      <c r="Q15" s="2295"/>
      <c r="R15" s="2295"/>
      <c r="S15" s="2295"/>
      <c r="T15" s="2295"/>
      <c r="U15" s="2296"/>
      <c r="V15" s="2297" t="s">
        <v>429</v>
      </c>
      <c r="W15" s="2300" t="s">
        <v>1243</v>
      </c>
      <c r="X15" s="2147"/>
      <c r="AD15" s="1162">
        <v>14</v>
      </c>
    </row>
    <row customHeight="1" ht="35.699999999999996">
      <c r="J16" s="383"/>
      <c r="K16" s="383"/>
      <c r="L16" s="2293"/>
      <c r="M16" s="2229"/>
      <c r="N16" s="1038"/>
      <c r="O16" s="2280" t="s">
        <v>432</v>
      </c>
      <c r="P16" s="2280" t="s">
        <v>433</v>
      </c>
      <c r="Q16" s="2282" t="s">
        <v>434</v>
      </c>
      <c r="R16" s="2283"/>
      <c r="S16" s="2282" t="s">
        <v>448</v>
      </c>
      <c r="T16" s="2289"/>
      <c r="U16" s="2283"/>
      <c r="V16" s="2298"/>
      <c r="W16" s="2301"/>
      <c r="X16" s="2147"/>
      <c r="AD16" s="1162">
        <v>34</v>
      </c>
    </row>
    <row customHeight="1" ht="35.699999999999996">
      <c r="A17" s="1377" t="s">
        <v>135</v>
      </c>
      <c r="B17" s="1377" t="s">
        <v>136</v>
      </c>
      <c r="C17" s="1377" t="s">
        <v>137</v>
      </c>
      <c r="D17" s="1377" t="s">
        <v>138</v>
      </c>
      <c r="E17" s="1377"/>
      <c r="J17" s="383"/>
      <c r="K17" s="383"/>
      <c r="L17" s="2293"/>
      <c r="M17" s="2229"/>
      <c r="N17" s="309"/>
      <c r="O17" s="2281"/>
      <c r="P17" s="2281"/>
      <c r="Q17" s="1229" t="s">
        <v>443</v>
      </c>
      <c r="R17" s="1229" t="s">
        <v>444</v>
      </c>
      <c r="S17" s="1299" t="s">
        <v>445</v>
      </c>
      <c r="T17" s="2290" t="s">
        <v>446</v>
      </c>
      <c r="U17" s="2291"/>
      <c r="V17" s="2299"/>
      <c r="W17" s="2302"/>
      <c r="X17" s="2147"/>
      <c r="AD17" s="1162">
        <v>34</v>
      </c>
    </row>
    <row s="1648" customFormat="1" customHeight="1" ht="11.549999999999999">
      <c r="A18" s="1377"/>
      <c r="B18" s="1377"/>
      <c r="C18" s="1377"/>
      <c r="D18" s="1377"/>
      <c r="E18" s="1377"/>
      <c r="F18" s="1369"/>
      <c r="G18" s="1369"/>
      <c r="H18" s="1369"/>
      <c r="I18" s="1253"/>
      <c r="J18" s="1254"/>
      <c r="K18" s="1261">
        <v>1</v>
      </c>
      <c r="L18" s="1284" t="s">
        <v>109</v>
      </c>
      <c r="M18" s="1262" t="s">
        <v>110</v>
      </c>
      <c r="N18" s="1252" t="str">
        <f>OFFSET(N18,0,-1)</f>
        <v>2</v>
      </c>
      <c r="O18" s="1296">
        <f>OFFSET(O18,0,-1)+1</f>
        <v>3</v>
      </c>
      <c r="P18" s="1296"/>
      <c r="Q18" s="1296">
        <f>OFFSET(Q18,0,-1)+1</f>
        <v>1</v>
      </c>
      <c r="R18" s="1296">
        <f>OFFSET(R18,0,-1)+1</f>
        <v>2</v>
      </c>
      <c r="S18" s="1296">
        <f>OFFSET(S18,0,-1)+1</f>
        <v>3</v>
      </c>
      <c r="T18" s="2292">
        <f>OFFSET(T18,0,-1)+1</f>
        <v>4</v>
      </c>
      <c r="U18" s="2292"/>
      <c r="V18" s="1296">
        <f>OFFSET(V18,0,-2)+1</f>
        <v>5</v>
      </c>
      <c r="W18" s="1252">
        <f>OFFSET(W18,0,-1)</f>
        <v>5</v>
      </c>
      <c r="X18" s="1296">
        <f>OFFSET(X18,0,-1)+1</f>
        <v>6</v>
      </c>
      <c r="Y18" s="518"/>
      <c r="Z18" s="518"/>
      <c r="AA18" s="518"/>
      <c r="AB18" s="518"/>
      <c r="AC18" s="518"/>
      <c r="AD18" s="503">
        <v>11</v>
      </c>
    </row>
    <row customHeight="1" ht="21">
      <c r="A19" s="1370" t="s">
        <v>169</v>
      </c>
      <c r="B19" s="1370" t="s">
        <v>170</v>
      </c>
      <c r="C19" s="1370" t="s">
        <v>171</v>
      </c>
      <c r="D19" s="1370" t="s">
        <v>172</v>
      </c>
      <c r="E19" s="1370"/>
      <c r="F19" s="1372"/>
      <c r="G19" s="1372"/>
      <c r="H19" s="1372"/>
      <c r="I19" s="368"/>
      <c r="J19" s="367"/>
      <c r="K19" s="362"/>
      <c r="L19" s="1300">
        <f>INDEX(PT_DIFFERENTIATION_NUM_NTAR,MATCH(A19,PT_DIFFERENTIATION_NTAR_ID,0))</f>
        <v>0</v>
      </c>
      <c r="M19" s="305" t="s">
        <v>124</v>
      </c>
      <c r="N19" s="307"/>
      <c r="O19" s="2626" t="str">
        <f>INDEX(PT_DIFFERENTIATION_NTAR,MATCH(A19,PT_DIFFERENTIATION_NTAR_ID,0))</f>
        <v/>
      </c>
      <c r="P19" s="2626"/>
      <c r="Q19" s="2626"/>
      <c r="R19" s="2626"/>
      <c r="S19" s="2626"/>
      <c r="T19" s="2626"/>
      <c r="U19" s="2626"/>
      <c r="V19" s="2626"/>
      <c r="W19" s="2626"/>
      <c r="X19" s="1265" t="s">
        <v>395</v>
      </c>
      <c r="Z19" s="507"/>
      <c r="AA19" s="507" t="str">
        <f>IF(M19="","",M19)</f>
        <v>Наименование тарифа</v>
      </c>
      <c r="AB19" s="507"/>
      <c r="AC19" s="507"/>
      <c r="AD19" s="1162">
        <v>20</v>
      </c>
    </row>
    <row customHeight="1" ht="21">
      <c r="A20" s="1370" t="s">
        <v>169</v>
      </c>
      <c r="B20" s="1370" t="s">
        <v>170</v>
      </c>
      <c r="C20" s="1370" t="s">
        <v>171</v>
      </c>
      <c r="D20" s="1370" t="s">
        <v>172</v>
      </c>
      <c r="E20" s="1370"/>
      <c r="F20" s="1372"/>
      <c r="G20" s="1372"/>
      <c r="H20" s="1372"/>
      <c r="I20" s="1297"/>
      <c r="J20" s="359"/>
      <c r="K20" s="360"/>
      <c r="L20" s="1300" t="str">
        <f>INDEX(PT_DIFFERENTIATION_NUM_TER,MATCH(B19,PT_DIFFERENTIATION_TER_ID,0))</f>
        <v>.</v>
      </c>
      <c r="M20" s="315" t="s">
        <v>396</v>
      </c>
      <c r="N20" s="307"/>
      <c r="O20" s="2626" t="str">
        <f>INDEX(PT_DIFFERENTIATION_TER,MATCH(B19,PT_DIFFERENTIATION_TER_ID,0))</f>
        <v/>
      </c>
      <c r="P20" s="2626"/>
      <c r="Q20" s="2626"/>
      <c r="R20" s="2626"/>
      <c r="S20" s="2626"/>
      <c r="T20" s="2626"/>
      <c r="U20" s="2626"/>
      <c r="V20" s="2626"/>
      <c r="W20" s="2626"/>
      <c r="X20" s="1265" t="s">
        <v>397</v>
      </c>
      <c r="Z20" s="507"/>
      <c r="AA20" s="507" t="str">
        <f>IF(M20="","",M20)</f>
        <v>Территория действия тарифа</v>
      </c>
      <c r="AB20" s="507"/>
      <c r="AC20" s="507"/>
      <c r="AD20" s="1162">
        <v>20</v>
      </c>
    </row>
    <row customHeight="1" ht="24">
      <c r="A21" s="1370" t="s">
        <v>169</v>
      </c>
      <c r="B21" s="1370" t="s">
        <v>170</v>
      </c>
      <c r="C21" s="1370" t="s">
        <v>171</v>
      </c>
      <c r="D21" s="1370" t="s">
        <v>172</v>
      </c>
      <c r="E21" s="1370"/>
      <c r="F21" s="1372"/>
      <c r="G21" s="1372"/>
      <c r="H21" s="1372"/>
      <c r="I21" s="361"/>
      <c r="J21" s="359"/>
      <c r="K21" s="360"/>
      <c r="L21" s="1300" t="str">
        <f>INDEX(PT_DIFFERENTIATION_NUM_CS,MATCH(C19,PT_DIFFERENTIATION_CS_ID,0))</f>
        <v>..</v>
      </c>
      <c r="M21" s="316" t="s">
        <v>398</v>
      </c>
      <c r="N21" s="307"/>
      <c r="O21" s="2626" t="str">
        <f>INDEX(PT_DIFFERENTIATION_CS,MATCH(C19,PT_DIFFERENTIATION_CS_ID,0))</f>
        <v/>
      </c>
      <c r="P21" s="2626"/>
      <c r="Q21" s="2626"/>
      <c r="R21" s="2626"/>
      <c r="S21" s="2626"/>
      <c r="T21" s="2626"/>
      <c r="U21" s="2626"/>
      <c r="V21" s="2626"/>
      <c r="W21" s="2626"/>
      <c r="X21" s="1265" t="s">
        <v>399</v>
      </c>
      <c r="Z21" s="507"/>
      <c r="AA21" s="507" t="str">
        <f>IF(M21="","",M21)</f>
        <v>Наименование системы теплоснабжения </v>
      </c>
      <c r="AB21" s="507"/>
      <c r="AC21" s="507"/>
      <c r="AD21" s="1162">
        <v>23</v>
      </c>
    </row>
    <row customHeight="1" ht="21">
      <c r="A22" s="1370" t="s">
        <v>169</v>
      </c>
      <c r="B22" s="1370" t="s">
        <v>170</v>
      </c>
      <c r="C22" s="1370" t="s">
        <v>171</v>
      </c>
      <c r="D22" s="1370" t="s">
        <v>172</v>
      </c>
      <c r="E22" s="1370"/>
      <c r="F22" s="1372"/>
      <c r="G22" s="1372"/>
      <c r="H22" s="1372"/>
      <c r="I22" s="361"/>
      <c r="J22" s="359"/>
      <c r="K22" s="360"/>
      <c r="L22" s="1300" t="str">
        <f>INDEX(PT_DIFFERENTIATION_NUM_IST_TE,MATCH(D19,PT_DIFFERENTIATION_IST_TE_ID,0))</f>
        <v>...</v>
      </c>
      <c r="M22" s="317" t="s">
        <v>400</v>
      </c>
      <c r="N22" s="307"/>
      <c r="O22" s="2626" t="str">
        <f>INDEX(PT_DIFFERENTIATION_IST_TE,MATCH(D19,PT_DIFFERENTIATION_IST_TE_ID,0))</f>
        <v/>
      </c>
      <c r="P22" s="2626"/>
      <c r="Q22" s="2626"/>
      <c r="R22" s="2626"/>
      <c r="S22" s="2626"/>
      <c r="T22" s="2626"/>
      <c r="U22" s="2626"/>
      <c r="V22" s="2626"/>
      <c r="W22" s="2626"/>
      <c r="X22" s="1265" t="s">
        <v>401</v>
      </c>
      <c r="Z22" s="507"/>
      <c r="AA22" s="507" t="str">
        <f>IF(M22="","",M22)</f>
        <v>Источник тепловой энергии  </v>
      </c>
      <c r="AB22" s="507"/>
      <c r="AC22" s="507"/>
      <c r="AD22" s="1162">
        <v>20</v>
      </c>
    </row>
    <row customHeight="1" ht="96.75">
      <c r="A23" s="1370" t="s">
        <v>169</v>
      </c>
      <c r="B23" s="1370" t="s">
        <v>170</v>
      </c>
      <c r="C23" s="1370" t="s">
        <v>171</v>
      </c>
      <c r="D23" s="1370" t="s">
        <v>172</v>
      </c>
      <c r="E23" s="1370"/>
      <c r="F23" s="2627" t="str">
        <f>L22&amp;".1"</f>
        <v>....1</v>
      </c>
      <c r="I23" s="2277">
        <v>1</v>
      </c>
      <c r="J23" s="1298"/>
      <c r="K23" s="363"/>
      <c r="L23" s="1300" t="str">
        <f>$F$23</f>
        <v>....1</v>
      </c>
      <c r="M23" s="292" t="s">
        <v>403</v>
      </c>
      <c r="N23" s="307"/>
      <c r="O23" s="2325"/>
      <c r="P23" s="2325"/>
      <c r="Q23" s="2325"/>
      <c r="R23" s="2325"/>
      <c r="S23" s="2325"/>
      <c r="T23" s="2325"/>
      <c r="U23" s="2325"/>
      <c r="V23" s="2325"/>
      <c r="W23" s="2325"/>
      <c r="X23" s="1265" t="s">
        <v>404</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169</v>
      </c>
      <c r="B24" s="1370" t="s">
        <v>170</v>
      </c>
      <c r="C24" s="1370" t="s">
        <v>171</v>
      </c>
      <c r="D24" s="1370" t="s">
        <v>172</v>
      </c>
      <c r="E24" s="1370"/>
      <c r="F24" s="2627"/>
      <c r="G24" s="2237" t="str">
        <f>F23&amp;".1"</f>
        <v>....1.1</v>
      </c>
      <c r="I24" s="2277"/>
      <c r="J24" s="2277">
        <v>1</v>
      </c>
      <c r="K24" s="364"/>
      <c r="L24" s="1300" t="str">
        <f>$G$24</f>
        <v>....1.1</v>
      </c>
      <c r="M24" s="293" t="s">
        <v>406</v>
      </c>
      <c r="N24" s="307"/>
      <c r="O24" s="2265"/>
      <c r="P24" s="2266"/>
      <c r="Q24" s="2266"/>
      <c r="R24" s="2266"/>
      <c r="S24" s="2266"/>
      <c r="T24" s="2266"/>
      <c r="U24" s="2266"/>
      <c r="V24" s="2266"/>
      <c r="W24" s="2267"/>
      <c r="X24" s="1265" t="s">
        <v>407</v>
      </c>
      <c r="Z24" s="507"/>
      <c r="AA24" s="507" t="str">
        <f>IF(M24="","",M24)</f>
        <v>Группа потребителей</v>
      </c>
      <c r="AB24" s="507"/>
      <c r="AC24" s="507"/>
      <c r="AD24" s="1162">
        <v>82</v>
      </c>
    </row>
    <row customHeight="1" ht="11.549999999999999">
      <c r="A25" s="1370" t="s">
        <v>169</v>
      </c>
      <c r="B25" s="1370" t="s">
        <v>170</v>
      </c>
      <c r="C25" s="1370" t="s">
        <v>171</v>
      </c>
      <c r="D25" s="1370" t="s">
        <v>172</v>
      </c>
      <c r="E25" s="1370"/>
      <c r="F25" s="2627"/>
      <c r="G25" s="2237"/>
      <c r="H25" s="2237" t="str">
        <f>G24&amp;".1"</f>
        <v>....1.1.1</v>
      </c>
      <c r="I25" s="2277"/>
      <c r="J25" s="2277"/>
      <c r="K25" s="364">
        <v>1</v>
      </c>
      <c r="L25" s="1300" t="str">
        <f>$H$25</f>
        <v>....1.1.1</v>
      </c>
      <c r="M25" s="1354"/>
      <c r="N25" s="307"/>
      <c r="O25" s="758"/>
      <c r="P25" s="332"/>
      <c r="Q25" s="758"/>
      <c r="R25" s="1264"/>
      <c r="S25" s="2622"/>
      <c r="T25" s="2127" t="s">
        <v>61</v>
      </c>
      <c r="U25" s="2622"/>
      <c r="V25" s="2127" t="s">
        <v>19</v>
      </c>
      <c r="W25" s="332"/>
      <c r="X25" s="2273" t="s">
        <v>409</v>
      </c>
      <c r="Y25" s="518">
        <f>STRCHECKDATE(O26:W26)</f>
      </c>
      <c r="Z25" s="507"/>
      <c r="AA25" s="507" t="str">
        <f>IF(M25="","",M25)</f>
        <v/>
      </c>
      <c r="AB25" s="507"/>
      <c r="AC25" s="507"/>
      <c r="AD25" s="1162">
        <v>11</v>
      </c>
    </row>
    <row customHeight="1" ht="11.549999999999999">
      <c r="A26" s="1370" t="s">
        <v>169</v>
      </c>
      <c r="B26" s="1370" t="s">
        <v>170</v>
      </c>
      <c r="C26" s="1370" t="s">
        <v>171</v>
      </c>
      <c r="D26" s="1370" t="s">
        <v>172</v>
      </c>
      <c r="E26" s="1370"/>
      <c r="F26" s="2627"/>
      <c r="G26" s="2237"/>
      <c r="H26" s="2237"/>
      <c r="I26" s="2277"/>
      <c r="J26" s="2277"/>
      <c r="K26" s="364"/>
      <c r="L26" s="1301"/>
      <c r="M26" s="307"/>
      <c r="N26" s="307"/>
      <c r="O26" s="332"/>
      <c r="P26" s="332"/>
      <c r="Q26" s="332"/>
      <c r="R26" s="335" t="str">
        <f>S25&amp;"-"&amp;U25</f>
        <v>-</v>
      </c>
      <c r="S26" s="2286"/>
      <c r="T26" s="2127"/>
      <c r="U26" s="2286"/>
      <c r="V26" s="2127"/>
      <c r="W26" s="332"/>
      <c r="X26" s="2274"/>
      <c r="Z26" s="507"/>
      <c r="AA26" s="507" t="str">
        <f>IF(M26="","",M26)</f>
        <v/>
      </c>
      <c r="AB26" s="507"/>
      <c r="AC26" s="507"/>
      <c r="AD26" s="1162">
        <v>11</v>
      </c>
    </row>
    <row customHeight="1" ht="15.75">
      <c r="A27" s="1370" t="s">
        <v>169</v>
      </c>
      <c r="B27" s="1370" t="s">
        <v>170</v>
      </c>
      <c r="C27" s="1370" t="s">
        <v>171</v>
      </c>
      <c r="D27" s="1370" t="s">
        <v>172</v>
      </c>
      <c r="E27" s="1370"/>
      <c r="F27" s="2627"/>
      <c r="G27" s="2237"/>
      <c r="I27" s="2277"/>
      <c r="J27" s="2277"/>
      <c r="K27" s="363"/>
      <c r="L27" s="1285"/>
      <c r="M27" s="295" t="s">
        <v>410</v>
      </c>
      <c r="N27" s="374"/>
      <c r="O27" s="374"/>
      <c r="P27" s="374"/>
      <c r="Q27" s="374"/>
      <c r="R27" s="374"/>
      <c r="S27" s="374"/>
      <c r="T27" s="374"/>
      <c r="U27" s="374"/>
      <c r="V27" s="374"/>
      <c r="W27" s="331"/>
      <c r="X27" s="2275"/>
      <c r="Z27" s="507"/>
      <c r="AA27" s="507" t="str">
        <f>IF(M27="","",M27)</f>
        <v>Добавить вид теплоносителя (параметры теплоносителя)</v>
      </c>
      <c r="AB27" s="507"/>
      <c r="AC27" s="507"/>
      <c r="AD27" s="1162">
        <v>15</v>
      </c>
    </row>
    <row customHeight="1" ht="15.75">
      <c r="A28" s="1370" t="s">
        <v>169</v>
      </c>
      <c r="B28" s="1370" t="s">
        <v>170</v>
      </c>
      <c r="C28" s="1370" t="s">
        <v>171</v>
      </c>
      <c r="D28" s="1370" t="s">
        <v>172</v>
      </c>
      <c r="E28" s="1370"/>
      <c r="F28" s="2627"/>
      <c r="I28" s="2277"/>
      <c r="J28" s="1298"/>
      <c r="K28" s="363"/>
      <c r="L28" s="1285"/>
      <c r="M28" s="294" t="s">
        <v>411</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169</v>
      </c>
      <c r="B29" s="1370" t="s">
        <v>170</v>
      </c>
      <c r="C29" s="1370" t="s">
        <v>171</v>
      </c>
      <c r="D29" s="1370" t="s">
        <v>172</v>
      </c>
      <c r="E29" s="1370"/>
      <c r="F29" s="1372"/>
      <c r="G29" s="1372"/>
      <c r="H29" s="544"/>
      <c r="I29" s="367"/>
      <c r="J29" s="382"/>
      <c r="K29" s="362"/>
      <c r="L29" s="1285"/>
      <c r="M29" s="372" t="s">
        <v>412</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169</v>
      </c>
      <c r="B30" s="1370" t="s">
        <v>170</v>
      </c>
      <c r="C30" s="1370" t="s">
        <v>171</v>
      </c>
      <c r="D30" s="1370"/>
      <c r="E30" s="1370" t="s">
        <v>614</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169</v>
      </c>
      <c r="B31" s="1370" t="s">
        <v>170</v>
      </c>
      <c r="C31" s="1370"/>
      <c r="D31" s="1370"/>
      <c r="E31" s="1370" t="s">
        <v>2310</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2311</v>
      </c>
      <c r="B32" s="1370"/>
      <c r="C32" s="1370"/>
      <c r="D32" s="1370"/>
      <c r="E32" s="1370" t="s">
        <v>104</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4" customFormat="1" customHeight="1" ht="11.549999999999999">
      <c r="A33" s="1370"/>
      <c r="B33" s="1370"/>
      <c r="C33" s="1370"/>
      <c r="D33" s="1370"/>
      <c r="E33" s="1370" t="s">
        <v>447</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850</v>
      </c>
      <c r="M35" s="2305" t="s">
        <v>2312</v>
      </c>
      <c r="N35" s="2305"/>
      <c r="O35" s="2305"/>
      <c r="P35" s="2305"/>
      <c r="Q35" s="2305"/>
      <c r="R35" s="2305"/>
      <c r="S35" s="2305"/>
      <c r="T35" s="2305"/>
      <c r="U35" s="2305"/>
      <c r="V35" s="2305"/>
      <c r="W35" s="2305"/>
      <c r="X35" s="2305"/>
      <c r="AD35" s="1162">
        <v>27</v>
      </c>
    </row>
    <row customHeight="1" ht="109.19999999999999">
      <c r="H36" s="544"/>
      <c r="I36" s="1310"/>
      <c r="M36" s="2305" t="s">
        <v>2313</v>
      </c>
      <c r="N36" s="2305"/>
      <c r="O36" s="2305"/>
      <c r="P36" s="2305"/>
      <c r="Q36" s="2305"/>
      <c r="R36" s="2305"/>
      <c r="S36" s="2305"/>
      <c r="T36" s="2305"/>
      <c r="U36" s="2305"/>
      <c r="V36" s="2305"/>
      <c r="W36" s="2305"/>
      <c r="X36" s="2305"/>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81</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524F1-3039-64CA-D3AF-0.9A8B34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D3462-E9E9-AEE1-1C8C-0.BB8380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337A2-3906-8FA6-47D9-0.C40BE3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077F7-3144-1213-DF1A-0.41FA2B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0A33D-AE85-4668-B49D-0.C4A7C3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5AC83-22F7-CE0C-3E7B-0.5FAA714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2" t="s">
        <v>298</v>
      </c>
      <c r="J1" s="462" t="s">
        <v>14</v>
      </c>
    </row>
    <row customHeight="1" ht="11.25" hidden="1">
      <c r="J2" s="462">
        <v>0</v>
      </c>
    </row>
    <row s="484" customFormat="1" customHeight="1" ht="11.549999999999999">
      <c r="A3" s="1692"/>
      <c r="B3" s="508"/>
      <c r="D3" s="485"/>
      <c r="J3" s="484">
        <v>11</v>
      </c>
    </row>
    <row customHeight="1" ht="27.299999999999997">
      <c r="D4" s="2177" t="str">
        <f>ORG_INFO_NAME_FORM</f>
        <v>Форма 1. Информация об организации, осуществляющей холодное водоснабжение (общая информация)</v>
      </c>
      <c r="E4" s="2178"/>
      <c r="F4" s="2179"/>
      <c r="I4" s="722"/>
      <c r="J4" s="462">
        <v>26</v>
      </c>
    </row>
    <row customHeight="1" ht="18">
      <c r="D5" s="2196" t="str">
        <f>IF(org=0,"Не определено",org)</f>
        <v>ИМУП «ПОСЖИЛКОМСЕРВИС»</v>
      </c>
      <c r="E5" s="2196"/>
      <c r="F5" s="2196"/>
      <c r="I5" s="722"/>
      <c r="J5" s="462">
        <v>17</v>
      </c>
    </row>
    <row s="484" customFormat="1" customHeight="1" ht="11.549999999999999">
      <c r="A6" s="1692"/>
      <c r="B6" s="508"/>
      <c r="D6" s="721"/>
      <c r="E6" s="721"/>
      <c r="F6" s="759"/>
      <c r="G6" s="721"/>
      <c r="J6" s="484">
        <v>11</v>
      </c>
    </row>
    <row customHeight="1" ht="11.25" hidden="1">
      <c r="A7" s="464"/>
      <c r="B7" s="509"/>
      <c r="C7" s="464"/>
      <c r="D7" s="470"/>
      <c r="E7" s="2227"/>
      <c r="F7" s="2227"/>
      <c r="J7" s="462">
        <v>0</v>
      </c>
    </row>
    <row customHeight="1" ht="11.549999999999999">
      <c r="A8" s="464"/>
      <c r="B8" s="509"/>
      <c r="C8" s="464"/>
      <c r="D8" s="2224" t="s">
        <v>299</v>
      </c>
      <c r="E8" s="2225"/>
      <c r="F8" s="2225"/>
      <c r="G8" s="2228" t="s">
        <v>300</v>
      </c>
      <c r="J8" s="462">
        <v>11</v>
      </c>
    </row>
    <row customHeight="1" ht="11.549999999999999">
      <c r="A9" s="464"/>
      <c r="B9" s="509"/>
      <c r="C9" s="464"/>
      <c r="D9" s="479" t="s">
        <v>87</v>
      </c>
      <c r="E9" s="453" t="s">
        <v>301</v>
      </c>
      <c r="F9" s="453" t="s">
        <v>302</v>
      </c>
      <c r="G9" s="2229"/>
      <c r="J9" s="462">
        <v>11</v>
      </c>
    </row>
    <row customHeight="1" ht="12" hidden="1">
      <c r="A10" s="464"/>
      <c r="B10" s="509"/>
      <c r="C10" s="464"/>
      <c r="D10" s="471"/>
      <c r="E10" s="471"/>
      <c r="F10" s="471"/>
      <c r="G10" s="471"/>
      <c r="J10" s="462">
        <v>0</v>
      </c>
    </row>
    <row customHeight="1" ht="22.5" hidden="1">
      <c r="A11" s="464"/>
      <c r="B11" s="509"/>
      <c r="C11" s="464"/>
      <c r="D11" s="1016" t="s">
        <v>109</v>
      </c>
      <c r="E11" s="1019" t="s">
        <v>303</v>
      </c>
      <c r="F11" s="1018" t="str">
        <f>IF(region_name="","",region_name)</f>
        <v>Ненецкий автономный округ</v>
      </c>
      <c r="G11" s="1019" t="s">
        <v>304</v>
      </c>
      <c r="H11" s="482"/>
      <c r="J11" s="462">
        <v>0</v>
      </c>
    </row>
    <row customHeight="1" ht="22.5" hidden="1">
      <c r="A12" s="464"/>
      <c r="B12" s="509"/>
      <c r="C12" s="464"/>
      <c r="D12" s="452" t="s">
        <v>109</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0" t="s">
        <v>305</v>
      </c>
      <c r="G12" s="481"/>
      <c r="H12" s="482"/>
      <c r="J12" s="462">
        <v>0</v>
      </c>
    </row>
    <row customHeight="1" ht="23.25">
      <c r="A13" s="464"/>
      <c r="B13" s="509"/>
      <c r="C13" s="464"/>
      <c r="D13" s="452" t="s">
        <v>109</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2"/>
      <c r="J13" s="462">
        <v>22</v>
      </c>
    </row>
    <row customHeight="1" ht="22.5" hidden="1">
      <c r="A14" s="464"/>
      <c r="B14" s="509"/>
      <c r="C14" s="464"/>
      <c r="D14" s="1016" t="s">
        <v>306</v>
      </c>
      <c r="E14" s="1017" t="s">
        <v>307</v>
      </c>
      <c r="F14" s="1018" t="str">
        <f>IF(inn="","",inn)</f>
        <v>2983013920</v>
      </c>
      <c r="G14" s="1019" t="s">
        <v>308</v>
      </c>
      <c r="H14" s="482"/>
      <c r="J14" s="462">
        <v>0</v>
      </c>
    </row>
    <row customHeight="1" ht="22.5" hidden="1">
      <c r="A15" s="464"/>
      <c r="B15" s="509"/>
      <c r="C15" s="464"/>
      <c r="D15" s="1016" t="s">
        <v>309</v>
      </c>
      <c r="E15" s="1017" t="s">
        <v>310</v>
      </c>
      <c r="F15" s="1018" t="str">
        <f>IF(kpp="","",kpp)</f>
        <v>298301001</v>
      </c>
      <c r="G15" s="1019" t="s">
        <v>311</v>
      </c>
      <c r="H15" s="482"/>
      <c r="J15" s="462">
        <v>0</v>
      </c>
    </row>
    <row customHeight="1" ht="39">
      <c r="A16" s="464"/>
      <c r="B16" s="509"/>
      <c r="C16" s="464"/>
      <c r="D16" s="452" t="s">
        <v>110</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89</v>
      </c>
      <c r="E17" s="449" t="str">
        <f>"Дата присвоения ОГРН"&amp;IF(TEMPLATE_SPHERE="TKO",""," (ОГРНИП)")</f>
        <v>Дата присвоения ОГРН (ОГРНИП)</v>
      </c>
      <c r="F17" s="1738"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90</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22" t="s">
        <v>312</v>
      </c>
      <c r="B19" s="509"/>
      <c r="C19" s="2233"/>
      <c r="D19" s="452" t="str">
        <f>A19</f>
        <v>5.1</v>
      </c>
      <c r="E19" s="449" t="s">
        <v>313</v>
      </c>
      <c r="F19" s="450" t="s">
        <v>305</v>
      </c>
      <c r="G19" s="451" t="s">
        <v>314</v>
      </c>
      <c r="H19" s="482"/>
      <c r="I19" s="859"/>
      <c r="J19" s="462">
        <v>0</v>
      </c>
    </row>
    <row customHeight="1" ht="24" hidden="1">
      <c r="A20" s="2222"/>
      <c r="B20" s="509"/>
      <c r="C20" s="2233"/>
      <c r="D20" s="447" t="str">
        <f>D19&amp;".1"</f>
        <v>5.1.1</v>
      </c>
      <c r="E20" s="446" t="s">
        <v>315</v>
      </c>
      <c r="F20" s="888" t="s">
        <v>22</v>
      </c>
      <c r="G20" s="481"/>
      <c r="H20" s="482"/>
      <c r="I20" s="859"/>
      <c r="J20" s="462">
        <v>0</v>
      </c>
    </row>
    <row customHeight="1" ht="22.5" hidden="1">
      <c r="A21" s="2222"/>
      <c r="B21" s="509"/>
      <c r="C21" s="2233"/>
      <c r="D21" s="447" t="str">
        <f>D19&amp;".2"</f>
        <v>5.1.2</v>
      </c>
      <c r="E21" s="446" t="s">
        <v>316</v>
      </c>
      <c r="F21" s="1739" t="s">
        <v>22</v>
      </c>
      <c r="G21" s="451" t="s">
        <v>317</v>
      </c>
      <c r="H21" s="482"/>
      <c r="I21" s="859"/>
      <c r="J21" s="462">
        <v>0</v>
      </c>
    </row>
    <row customHeight="1" ht="22.5" hidden="1">
      <c r="A22" s="2222"/>
      <c r="B22" s="509"/>
      <c r="C22" s="2233"/>
      <c r="D22" s="447" t="str">
        <f>D19&amp;".3"</f>
        <v>5.1.3</v>
      </c>
      <c r="E22" s="446" t="s">
        <v>318</v>
      </c>
      <c r="F22" s="888" t="s">
        <v>22</v>
      </c>
      <c r="G22" s="481"/>
      <c r="H22" s="482"/>
      <c r="I22" s="859"/>
      <c r="J22" s="462">
        <v>0</v>
      </c>
    </row>
    <row customHeight="1" ht="22.5" hidden="1">
      <c r="A23" s="2222"/>
      <c r="B23" s="509"/>
      <c r="C23" s="2233"/>
      <c r="D23" s="447" t="str">
        <f>D19&amp;".4"</f>
        <v>5.1.4</v>
      </c>
      <c r="E23" s="446" t="s">
        <v>319</v>
      </c>
      <c r="F23" s="888" t="s">
        <v>22</v>
      </c>
      <c r="G23" s="451" t="s">
        <v>320</v>
      </c>
      <c r="H23" s="482"/>
      <c r="I23" s="859"/>
      <c r="J23" s="462">
        <v>0</v>
      </c>
    </row>
    <row customHeight="1" ht="22.5" hidden="1">
      <c r="A24" s="1982"/>
      <c r="B24" s="509"/>
      <c r="C24" s="499"/>
      <c r="D24" s="474"/>
      <c r="E24" s="1175" t="s">
        <v>321</v>
      </c>
      <c r="F24" s="475"/>
      <c r="G24" s="476"/>
      <c r="H24" s="482"/>
      <c r="I24" s="859"/>
      <c r="J24" s="462">
        <v>0</v>
      </c>
    </row>
    <row s="508" customFormat="1" customHeight="1" ht="24.75" hidden="1">
      <c r="A25" s="464"/>
      <c r="B25" s="509"/>
      <c r="C25" s="509"/>
      <c r="D25" s="1013" t="s">
        <v>89</v>
      </c>
      <c r="E25" s="1015" t="s">
        <v>322</v>
      </c>
      <c r="F25" s="1020" t="s">
        <v>305</v>
      </c>
      <c r="G25" s="1015"/>
      <c r="J25" s="508">
        <v>0</v>
      </c>
    </row>
    <row s="508" customFormat="1" customHeight="1" ht="11.25" hidden="1">
      <c r="A26" s="464"/>
      <c r="B26" s="509"/>
      <c r="C26" s="509"/>
      <c r="D26" s="1013" t="s">
        <v>323</v>
      </c>
      <c r="E26" s="1014" t="s">
        <v>324</v>
      </c>
      <c r="F26" s="1020" t="s">
        <v>305</v>
      </c>
      <c r="G26" s="1015"/>
      <c r="J26" s="508">
        <v>0</v>
      </c>
    </row>
    <row s="508" customFormat="1" customHeight="1" ht="11.25" hidden="1">
      <c r="A27" s="464"/>
      <c r="B27" s="509"/>
      <c r="C27" s="509"/>
      <c r="D27" s="1013" t="s">
        <v>325</v>
      </c>
      <c r="E27" s="1021" t="s">
        <v>326</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327</v>
      </c>
      <c r="E28" s="1021" t="s">
        <v>328</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329</v>
      </c>
      <c r="E29" s="1021" t="s">
        <v>330</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331</v>
      </c>
      <c r="E30" s="1014" t="s">
        <v>332</v>
      </c>
      <c r="F30" s="1022"/>
      <c r="G30" s="1015"/>
      <c r="J30" s="508">
        <v>0</v>
      </c>
    </row>
    <row s="508" customFormat="1" customHeight="1" ht="11.25" hidden="1">
      <c r="A31" s="464"/>
      <c r="B31" s="509"/>
      <c r="C31" s="509"/>
      <c r="D31" s="1013" t="s">
        <v>333</v>
      </c>
      <c r="E31" s="1014" t="s">
        <v>334</v>
      </c>
      <c r="F31" s="1022"/>
      <c r="G31" s="1015"/>
      <c r="J31" s="508">
        <v>0</v>
      </c>
    </row>
    <row s="508" customFormat="1" customHeight="1" ht="11.25" hidden="1">
      <c r="A32" s="464"/>
      <c r="B32" s="509"/>
      <c r="C32" s="509"/>
      <c r="D32" s="1013" t="s">
        <v>335</v>
      </c>
      <c r="E32" s="1014" t="s">
        <v>336</v>
      </c>
      <c r="F32" s="1023"/>
      <c r="G32" s="1015"/>
      <c r="J32" s="508">
        <v>0</v>
      </c>
    </row>
    <row customHeight="1" ht="24">
      <c r="A33" s="464" t="str">
        <f>IF(TEMPLATE_SPHERE="HEAT","6","5")</f>
        <v>5</v>
      </c>
      <c r="B33" s="509"/>
      <c r="C33" s="464"/>
      <c r="D33" s="447" t="str">
        <f>A33</f>
        <v>5</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0" t="s">
        <v>305</v>
      </c>
      <c r="G33" s="481"/>
      <c r="H33" s="482"/>
      <c r="J33" s="462">
        <v>23</v>
      </c>
    </row>
    <row customHeight="1" ht="23.25">
      <c r="A34" s="464"/>
      <c r="B34" s="509"/>
      <c r="C34" s="464"/>
      <c r="D34" s="447" t="str">
        <f>D33&amp;".1"</f>
        <v>5.1</v>
      </c>
      <c r="E34" s="449" t="str">
        <f>"фамилия"&amp;IF(TEMPLATE_SPHERE&lt;&gt;"HEAT"," руководителя","")</f>
        <v>фамилия руководителя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2"/>
      <c r="J34" s="462">
        <v>22</v>
      </c>
    </row>
    <row customHeight="1" ht="23.25">
      <c r="A35" s="464"/>
      <c r="B35" s="509"/>
      <c r="C35" s="464"/>
      <c r="D35" s="447" t="str">
        <f>D33&amp;".2"</f>
        <v>5.2</v>
      </c>
      <c r="E35" s="449" t="str">
        <f>"имя"&amp;IF(TEMPLATE_SPHERE&lt;&gt;"HEAT"," руководителя","")</f>
        <v>имя руководителя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2"/>
      <c r="J35" s="462">
        <v>22</v>
      </c>
    </row>
    <row customHeight="1" ht="24">
      <c r="A36" s="464"/>
      <c r="B36" s="509"/>
      <c r="C36" s="464"/>
      <c r="D36" s="447" t="str">
        <f>D33&amp;".3"</f>
        <v>5.3</v>
      </c>
      <c r="E36" s="449" t="str">
        <f>"отчество"&amp;IF(TEMPLATE_SPHERE&lt;&gt;"HEAT"," руководителя","")</f>
        <v>отчество руководителя</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2"/>
      <c r="J36" s="462">
        <v>23</v>
      </c>
    </row>
    <row customHeight="1" ht="35.699999999999996">
      <c r="A37" s="464"/>
      <c r="B37" s="509"/>
      <c r="C37" s="464"/>
      <c r="D37" s="447">
        <f>D33+1</f>
        <v>6</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8"/>
      <c r="G37" s="451" t="s">
        <v>337</v>
      </c>
      <c r="H37" s="482"/>
      <c r="J37" s="462">
        <v>34</v>
      </c>
    </row>
    <row customHeight="1" ht="35.699999999999996">
      <c r="A38" s="464"/>
      <c r="B38" s="509"/>
      <c r="C38" s="464"/>
      <c r="D38" s="447">
        <f>D37+1</f>
        <v>7</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8"/>
      <c r="G38" s="451" t="s">
        <v>337</v>
      </c>
      <c r="H38" s="482"/>
      <c r="J38" s="462">
        <v>34</v>
      </c>
    </row>
    <row customHeight="1" ht="23.25">
      <c r="A39" s="464"/>
      <c r="B39" s="509"/>
      <c r="C39" s="464"/>
      <c r="D39" s="447">
        <f>D38+1</f>
        <v>8</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0" t="s">
        <v>305</v>
      </c>
      <c r="G39" s="223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8.0</v>
      </c>
      <c r="E40" s="1612"/>
      <c r="F40" s="888"/>
      <c r="G40" s="2231"/>
      <c r="H40" s="482"/>
      <c r="J40" s="462">
        <v>0</v>
      </c>
    </row>
    <row customHeight="1" ht="23.25">
      <c r="A41" s="464"/>
      <c r="B41" s="464"/>
      <c r="C41" s="1694"/>
      <c r="D41" s="447" t="str">
        <f>D39&amp;".1"</f>
        <v>8.1</v>
      </c>
      <c r="E41" s="867"/>
      <c r="F41" s="868"/>
      <c r="G41" s="2231"/>
      <c r="H41" s="482"/>
      <c r="J41" s="462">
        <v>22</v>
      </c>
    </row>
    <row customHeight="1" ht="15.75">
      <c r="A42" s="464"/>
      <c r="B42" s="509"/>
      <c r="C42" s="464"/>
      <c r="D42" s="474"/>
      <c r="E42" s="422" t="s">
        <v>338</v>
      </c>
      <c r="F42" s="476"/>
      <c r="G42" s="2232"/>
      <c r="H42" s="483"/>
      <c r="J42" s="462">
        <v>15</v>
      </c>
    </row>
    <row customHeight="1" ht="27.299999999999997">
      <c r="A43" s="464"/>
      <c r="B43" s="509"/>
      <c r="C43" s="464"/>
      <c r="D43" s="447">
        <f>D39+1</f>
        <v>9</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10</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5"/>
      <c r="G44" s="481" t="s">
        <v>339</v>
      </c>
      <c r="H44" s="482"/>
      <c r="J44" s="462">
        <v>22</v>
      </c>
    </row>
    <row customHeight="1" ht="23.25">
      <c r="A45" s="464"/>
      <c r="B45" s="509"/>
      <c r="C45" s="464"/>
      <c r="D45" s="447">
        <f>D44+1</f>
        <v>11</v>
      </c>
      <c r="E45" s="445" t="s">
        <v>340</v>
      </c>
      <c r="F45" s="450" t="s">
        <v>305</v>
      </c>
      <c r="G45" s="444" t="str">
        <f>IF(TEMPLATE_SPHERE="TKO","Указывается режим работы организации.","")</f>
        <v/>
      </c>
      <c r="H45" s="482"/>
      <c r="J45" s="462">
        <v>22</v>
      </c>
    </row>
    <row customHeight="1" ht="24">
      <c r="A46" s="464"/>
      <c r="B46" s="509"/>
      <c r="C46" s="464"/>
      <c r="D46" s="447" t="str">
        <f>D45&amp;".1"</f>
        <v>11.1</v>
      </c>
      <c r="E46" s="449" t="str">
        <f>"режим работы регулируемой организации"&amp;IF(TEMPLATE_SPHERE="HEAT",", ЕТО, ТО","")</f>
        <v>режим работы регулируемой организации</v>
      </c>
      <c r="F46" s="1690"/>
      <c r="G46" s="444" t="s">
        <v>341</v>
      </c>
      <c r="H46" s="482"/>
      <c r="J46" s="462">
        <v>23</v>
      </c>
    </row>
    <row customHeight="1" ht="24">
      <c r="A47" s="2222"/>
      <c r="B47" s="509"/>
      <c r="C47" s="499"/>
      <c r="D47" s="447" t="str">
        <f>D45&amp;".2"</f>
        <v>11.2</v>
      </c>
      <c r="E47" s="449" t="s">
        <v>342</v>
      </c>
      <c r="F47" s="497"/>
      <c r="G47" s="444" t="s">
        <v>343</v>
      </c>
      <c r="H47" s="482"/>
      <c r="J47" s="462">
        <v>23</v>
      </c>
    </row>
    <row customHeight="1" ht="24">
      <c r="A48" s="2222"/>
      <c r="B48" s="509"/>
      <c r="C48" s="499"/>
      <c r="D48" s="447" t="str">
        <f>D45&amp;".3"</f>
        <v>11.3</v>
      </c>
      <c r="E48" s="449" t="s">
        <v>344</v>
      </c>
      <c r="F48" s="497"/>
      <c r="G48" s="444" t="s">
        <v>345</v>
      </c>
      <c r="H48" s="482"/>
      <c r="J48" s="462">
        <v>23</v>
      </c>
    </row>
    <row customHeight="1" ht="24">
      <c r="A49" s="2222"/>
      <c r="B49" s="509"/>
      <c r="C49" s="499"/>
      <c r="D49" s="447" t="str">
        <f>IF(TEMPLATE_SPHERE="TKO",D45&amp;".0",D45&amp;".4")</f>
        <v>11.4</v>
      </c>
      <c r="E49" s="443" t="s">
        <v>346</v>
      </c>
      <c r="F49" s="1691"/>
      <c r="G49" s="1768" t="s">
        <v>347</v>
      </c>
      <c r="H49" s="482"/>
      <c r="J49" s="462">
        <v>23</v>
      </c>
    </row>
    <row customHeight="1" ht="24">
      <c r="A50" s="464"/>
      <c r="B50" s="509"/>
      <c r="C50" s="464"/>
      <c r="D50" s="474"/>
      <c r="E50" s="422" t="s">
        <v>348</v>
      </c>
      <c r="F50" s="475"/>
      <c r="G50" s="1768" t="s">
        <v>349</v>
      </c>
      <c r="H50" s="483"/>
      <c r="J50" s="462">
        <v>23</v>
      </c>
    </row>
    <row customHeight="1" ht="24">
      <c r="A51" s="865"/>
      <c r="B51" s="509"/>
      <c r="C51" s="499"/>
      <c r="D51" s="447">
        <f>D45+1</f>
        <v>12</v>
      </c>
      <c r="E51" s="535" t="s">
        <v>350</v>
      </c>
      <c r="F51" s="497"/>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2"/>
      <c r="J51" s="462">
        <v>23</v>
      </c>
    </row>
    <row customHeight="1" ht="11.549999999999999">
      <c r="A52" s="464"/>
      <c r="B52" s="509"/>
      <c r="C52" s="464"/>
      <c r="J52" s="462">
        <v>11</v>
      </c>
    </row>
    <row s="467" customFormat="1" customHeight="1" ht="31.5">
      <c r="A53" s="1693"/>
      <c r="B53" s="510"/>
      <c r="C53" s="2223"/>
      <c r="D53" s="22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6"/>
      <c r="F53" s="2226"/>
      <c r="G53" s="2226"/>
      <c r="H53" s="461"/>
      <c r="I53" s="461"/>
      <c r="J53" s="467">
        <v>30</v>
      </c>
    </row>
    <row s="467" customFormat="1" customHeight="1" ht="42">
      <c r="A54" s="464"/>
      <c r="B54" s="509"/>
      <c r="C54" s="2223"/>
      <c r="D54" s="222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26"/>
      <c r="F54" s="2226"/>
      <c r="G54" s="2226"/>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2" t="s">
        <v>81</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3CAF2-D91E-1F62-02EE-0.4C3CEA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271408-AC7C-87B9-D37C-0.75C40C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1EC8F-4041-5BB4-6D61-0.899BA13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D83CB-CBA2-FF14-C725-0.B9DBC428}"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36" t="s">
        <v>2314</v>
      </c>
      <c r="B1" s="2637" t="s">
        <v>2315</v>
      </c>
      <c r="C1" s="2638" t="s">
        <v>2316</v>
      </c>
      <c r="D1" s="2639"/>
      <c r="E1" s="843" t="s">
        <v>2317</v>
      </c>
    </row>
    <row customHeight="1" ht="11.25">
      <c r="A2" s="2640"/>
      <c r="B2" s="772" t="s">
        <v>27</v>
      </c>
      <c r="C2" s="760"/>
      <c r="D2" s="771"/>
      <c r="E2" s="843"/>
    </row>
    <row customHeight="1" ht="11.25">
      <c r="A3" s="2641"/>
      <c r="B3" s="2642" t="s">
        <v>33</v>
      </c>
      <c r="C3" s="760"/>
      <c r="D3" s="771"/>
      <c r="E3" s="843"/>
    </row>
    <row customHeight="1" ht="11.25">
      <c r="A4" s="2643"/>
      <c r="B4" s="773" t="s">
        <v>1749</v>
      </c>
      <c r="C4" s="760"/>
      <c r="D4" s="771"/>
      <c r="E4" s="843"/>
    </row>
    <row customHeight="1" ht="11.25">
      <c r="A5" s="2644"/>
      <c r="B5" s="773" t="s">
        <v>1744</v>
      </c>
      <c r="C5" s="2645" t="s">
        <v>2084</v>
      </c>
      <c r="D5" s="2646" t="s">
        <v>2318</v>
      </c>
      <c r="E5" s="843"/>
    </row>
    <row s="1854" customFormat="1" customHeight="1" ht="11.25">
      <c r="A6" s="2647"/>
      <c r="B6" s="773" t="s">
        <v>1753</v>
      </c>
      <c r="C6" s="760"/>
      <c r="D6" s="771"/>
      <c r="E6" s="843"/>
    </row>
    <row customHeight="1" ht="11.25">
      <c r="A7" s="2648"/>
      <c r="B7" s="773" t="s">
        <v>1761</v>
      </c>
      <c r="C7" s="760"/>
      <c r="D7" s="771"/>
      <c r="E7" s="843"/>
    </row>
    <row customHeight="1" ht="11.25">
      <c r="A8" s="763"/>
      <c r="B8" s="773" t="s">
        <v>1756</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1968-28A8-28D9-D87D-0.52A9AA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00284-2604-87B8-6C22-0.062744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4D0A3-9247-32EF-7BB2-0.71AA346D}"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5" t="s">
        <v>2319</v>
      </c>
      <c r="B1" s="75" t="s">
        <v>2320</v>
      </c>
      <c r="C1" s="75" t="s">
        <v>2321</v>
      </c>
      <c r="D1" s="75" t="s">
        <v>2322</v>
      </c>
      <c r="E1" s="75" t="s">
        <v>2323</v>
      </c>
      <c r="F1" s="75" t="s">
        <v>2324</v>
      </c>
      <c r="G1" s="75" t="s">
        <v>2325</v>
      </c>
      <c r="H1" s="75" t="s">
        <v>2326</v>
      </c>
      <c r="I1" s="75" t="s">
        <v>2327</v>
      </c>
    </row>
    <row customHeight="1" ht="11.25">
      <c r="A2" s="1854" t="s">
        <v>2328</v>
      </c>
      <c r="B2" s="1854" t="s">
        <v>16</v>
      </c>
      <c r="C2" s="1854" t="s">
        <v>2329</v>
      </c>
      <c r="D2" s="1854" t="s">
        <v>2330</v>
      </c>
      <c r="E2" s="1854" t="s">
        <v>2331</v>
      </c>
      <c r="F2" s="1854" t="s">
        <v>2332</v>
      </c>
      <c r="G2" s="1854" t="s">
        <v>22</v>
      </c>
      <c r="H2" s="1854" t="s">
        <v>22</v>
      </c>
      <c r="I2" s="1854" t="s">
        <v>854</v>
      </c>
    </row>
    <row customHeight="1" ht="11.25">
      <c r="A3" s="1854" t="s">
        <v>2328</v>
      </c>
      <c r="B3" s="1854" t="s">
        <v>16</v>
      </c>
      <c r="C3" s="1854" t="s">
        <v>2333</v>
      </c>
      <c r="D3" s="1854" t="s">
        <v>2334</v>
      </c>
      <c r="E3" s="1854" t="s">
        <v>2335</v>
      </c>
      <c r="F3" s="1854" t="s">
        <v>50</v>
      </c>
      <c r="G3" s="1854" t="s">
        <v>22</v>
      </c>
      <c r="H3" s="1854" t="s">
        <v>22</v>
      </c>
      <c r="I3" s="1854" t="s">
        <v>854</v>
      </c>
    </row>
    <row customHeight="1" ht="11.25">
      <c r="A4" s="1854" t="s">
        <v>2328</v>
      </c>
      <c r="B4" s="1854" t="s">
        <v>16</v>
      </c>
      <c r="C4" s="1854" t="s">
        <v>2336</v>
      </c>
      <c r="D4" s="1854" t="s">
        <v>2337</v>
      </c>
      <c r="E4" s="1854" t="s">
        <v>2338</v>
      </c>
      <c r="F4" s="1854" t="s">
        <v>50</v>
      </c>
      <c r="G4" s="1854" t="s">
        <v>22</v>
      </c>
      <c r="H4" s="1854" t="s">
        <v>22</v>
      </c>
      <c r="I4" s="1854" t="s">
        <v>854</v>
      </c>
    </row>
    <row customHeight="1" ht="11.25">
      <c r="A5" s="1854" t="s">
        <v>2328</v>
      </c>
      <c r="B5" s="1854" t="s">
        <v>16</v>
      </c>
      <c r="C5" s="1854" t="s">
        <v>13</v>
      </c>
      <c r="D5" s="1854" t="s">
        <v>45</v>
      </c>
      <c r="E5" s="1854" t="s">
        <v>48</v>
      </c>
      <c r="F5" s="1854" t="s">
        <v>50</v>
      </c>
      <c r="G5" s="1854" t="s">
        <v>22</v>
      </c>
      <c r="H5" s="1854" t="s">
        <v>22</v>
      </c>
      <c r="I5" s="1854" t="s">
        <v>854</v>
      </c>
    </row>
    <row customHeight="1" ht="11.25">
      <c r="A6" s="1854" t="s">
        <v>2328</v>
      </c>
      <c r="B6" s="1854" t="s">
        <v>16</v>
      </c>
      <c r="C6" s="1854" t="s">
        <v>2339</v>
      </c>
      <c r="D6" s="1854" t="s">
        <v>2340</v>
      </c>
      <c r="E6" s="1854" t="s">
        <v>2341</v>
      </c>
      <c r="F6" s="1854" t="s">
        <v>50</v>
      </c>
      <c r="G6" s="1854" t="s">
        <v>22</v>
      </c>
      <c r="H6" s="1854" t="s">
        <v>22</v>
      </c>
      <c r="I6" s="1854" t="s">
        <v>854</v>
      </c>
    </row>
    <row customHeight="1" ht="11.25">
      <c r="A7" s="1854" t="s">
        <v>2328</v>
      </c>
      <c r="B7" s="1854" t="s">
        <v>16</v>
      </c>
      <c r="C7" s="1854" t="s">
        <v>2342</v>
      </c>
      <c r="D7" s="1854" t="s">
        <v>2343</v>
      </c>
      <c r="E7" s="1854" t="s">
        <v>2344</v>
      </c>
      <c r="F7" s="1854" t="s">
        <v>50</v>
      </c>
      <c r="G7" s="1854" t="s">
        <v>22</v>
      </c>
      <c r="H7" s="1854" t="s">
        <v>22</v>
      </c>
      <c r="I7" s="1854" t="s">
        <v>854</v>
      </c>
    </row>
    <row customHeight="1" ht="11.25">
      <c r="A8" s="1854" t="s">
        <v>2328</v>
      </c>
      <c r="B8" s="1854" t="s">
        <v>16</v>
      </c>
      <c r="C8" s="1854" t="s">
        <v>2345</v>
      </c>
      <c r="D8" s="1854" t="s">
        <v>2346</v>
      </c>
      <c r="E8" s="1854" t="s">
        <v>2347</v>
      </c>
      <c r="F8" s="1854" t="s">
        <v>50</v>
      </c>
      <c r="G8" s="1854" t="s">
        <v>22</v>
      </c>
      <c r="H8" s="1854" t="s">
        <v>22</v>
      </c>
      <c r="I8" s="1854" t="s">
        <v>854</v>
      </c>
    </row>
    <row customHeight="1" ht="11.25">
      <c r="A9" s="1854" t="s">
        <v>2328</v>
      </c>
      <c r="B9" s="1854" t="s">
        <v>16</v>
      </c>
      <c r="C9" s="1854" t="s">
        <v>2348</v>
      </c>
      <c r="D9" s="1854" t="s">
        <v>2349</v>
      </c>
      <c r="E9" s="1854" t="s">
        <v>2350</v>
      </c>
      <c r="F9" s="1854" t="s">
        <v>50</v>
      </c>
      <c r="G9" s="1854" t="s">
        <v>2351</v>
      </c>
      <c r="H9" s="1854" t="s">
        <v>22</v>
      </c>
      <c r="I9" s="1854" t="s">
        <v>854</v>
      </c>
    </row>
    <row customHeight="1" ht="11.25">
      <c r="A10" s="1854" t="s">
        <v>2328</v>
      </c>
      <c r="B10" s="1854" t="s">
        <v>16</v>
      </c>
      <c r="C10" s="1854" t="s">
        <v>2352</v>
      </c>
      <c r="D10" s="1854" t="s">
        <v>2353</v>
      </c>
      <c r="E10" s="1854" t="s">
        <v>2354</v>
      </c>
      <c r="F10" s="1854" t="s">
        <v>2355</v>
      </c>
      <c r="G10" s="1854" t="s">
        <v>22</v>
      </c>
      <c r="H10" s="1854" t="s">
        <v>22</v>
      </c>
      <c r="I10" s="1854" t="s">
        <v>854</v>
      </c>
    </row>
    <row customHeight="1" ht="11.25">
      <c r="A11" s="1854" t="s">
        <v>2328</v>
      </c>
      <c r="B11" s="1854" t="s">
        <v>16</v>
      </c>
      <c r="C11" s="1854" t="s">
        <v>2356</v>
      </c>
      <c r="D11" s="1854" t="s">
        <v>2357</v>
      </c>
      <c r="E11" s="1854" t="s">
        <v>2358</v>
      </c>
      <c r="F11" s="1854" t="s">
        <v>2359</v>
      </c>
      <c r="G11" s="1854" t="s">
        <v>22</v>
      </c>
      <c r="H11" s="1854" t="s">
        <v>22</v>
      </c>
      <c r="I11" s="1854" t="s">
        <v>854</v>
      </c>
    </row>
    <row customHeight="1" ht="11.25">
      <c r="A12" s="1854" t="s">
        <v>2328</v>
      </c>
      <c r="B12" s="1854" t="s">
        <v>16</v>
      </c>
      <c r="C12" s="1854" t="s">
        <v>2360</v>
      </c>
      <c r="D12" s="1854" t="s">
        <v>2361</v>
      </c>
      <c r="E12" s="1854" t="s">
        <v>2362</v>
      </c>
      <c r="F12" s="1854" t="s">
        <v>50</v>
      </c>
      <c r="G12" s="1854" t="s">
        <v>22</v>
      </c>
      <c r="H12" s="1854" t="s">
        <v>22</v>
      </c>
      <c r="I12" s="1854" t="s">
        <v>854</v>
      </c>
    </row>
    <row customHeight="1" ht="11.25">
      <c r="A13" s="1854" t="s">
        <v>2328</v>
      </c>
      <c r="B13" s="1854" t="s">
        <v>16</v>
      </c>
      <c r="C13" s="1854" t="s">
        <v>2363</v>
      </c>
      <c r="D13" s="1854" t="s">
        <v>2364</v>
      </c>
      <c r="E13" s="1854" t="s">
        <v>2331</v>
      </c>
      <c r="F13" s="1854" t="s">
        <v>2365</v>
      </c>
      <c r="G13" s="1854" t="s">
        <v>2366</v>
      </c>
      <c r="H13" s="1854" t="s">
        <v>22</v>
      </c>
      <c r="I13" s="1854" t="s">
        <v>854</v>
      </c>
    </row>
    <row customHeight="1" ht="11.25">
      <c r="A14" s="1854" t="s">
        <v>2328</v>
      </c>
      <c r="B14" s="1854" t="s">
        <v>16</v>
      </c>
      <c r="C14" s="1854" t="s">
        <v>22</v>
      </c>
      <c r="D14" s="1854" t="s">
        <v>2367</v>
      </c>
      <c r="E14" s="1854" t="s">
        <v>2368</v>
      </c>
      <c r="F14" s="1854" t="s">
        <v>50</v>
      </c>
      <c r="G14" s="1854" t="s">
        <v>22</v>
      </c>
      <c r="H14" s="1854" t="s">
        <v>22</v>
      </c>
      <c r="I14" s="1854" t="s">
        <v>854</v>
      </c>
    </row>
    <row customHeight="1" ht="11.25">
      <c r="A15" s="1854" t="s">
        <v>2328</v>
      </c>
      <c r="B15" s="1854" t="s">
        <v>16</v>
      </c>
      <c r="C15" s="1854" t="s">
        <v>2369</v>
      </c>
      <c r="D15" s="1854" t="s">
        <v>2370</v>
      </c>
      <c r="E15" s="1854" t="s">
        <v>2371</v>
      </c>
      <c r="F15" s="1854" t="s">
        <v>2372</v>
      </c>
      <c r="G15" s="1854" t="s">
        <v>22</v>
      </c>
      <c r="H15" s="1854" t="s">
        <v>22</v>
      </c>
      <c r="I15" s="1854" t="s">
        <v>854</v>
      </c>
    </row>
    <row customHeight="1" ht="11.25">
      <c r="A16" s="1854" t="s">
        <v>2328</v>
      </c>
      <c r="B16" s="1854" t="s">
        <v>16</v>
      </c>
      <c r="C16" s="1854" t="s">
        <v>2373</v>
      </c>
      <c r="D16" s="1854" t="s">
        <v>2374</v>
      </c>
      <c r="E16" s="1854" t="s">
        <v>2371</v>
      </c>
      <c r="F16" s="1854" t="s">
        <v>2375</v>
      </c>
      <c r="G16" s="1854" t="s">
        <v>2376</v>
      </c>
      <c r="H16" s="1854" t="s">
        <v>22</v>
      </c>
      <c r="I16" s="1854" t="s">
        <v>854</v>
      </c>
    </row>
    <row customHeight="1" ht="11.25">
      <c r="A17" s="1854" t="s">
        <v>2328</v>
      </c>
      <c r="B17" s="1854" t="s">
        <v>16</v>
      </c>
      <c r="C17" s="1854" t="s">
        <v>2329</v>
      </c>
      <c r="D17" s="1854" t="s">
        <v>2330</v>
      </c>
      <c r="E17" s="1854" t="s">
        <v>2331</v>
      </c>
      <c r="F17" s="1854" t="s">
        <v>2332</v>
      </c>
      <c r="G17" s="1854" t="s">
        <v>22</v>
      </c>
      <c r="H17" s="1854" t="s">
        <v>22</v>
      </c>
      <c r="I17" s="1854" t="s">
        <v>941</v>
      </c>
    </row>
    <row customHeight="1" ht="11.25">
      <c r="A18" s="1854" t="s">
        <v>2328</v>
      </c>
      <c r="B18" s="1854" t="s">
        <v>16</v>
      </c>
      <c r="C18" s="1854" t="s">
        <v>2333</v>
      </c>
      <c r="D18" s="1854" t="s">
        <v>2334</v>
      </c>
      <c r="E18" s="1854" t="s">
        <v>2335</v>
      </c>
      <c r="F18" s="1854" t="s">
        <v>50</v>
      </c>
      <c r="G18" s="1854" t="s">
        <v>22</v>
      </c>
      <c r="H18" s="1854" t="s">
        <v>22</v>
      </c>
      <c r="I18" s="1854" t="s">
        <v>941</v>
      </c>
    </row>
    <row customHeight="1" ht="11.25">
      <c r="A19" s="1854" t="s">
        <v>2328</v>
      </c>
      <c r="B19" s="1854" t="s">
        <v>16</v>
      </c>
      <c r="C19" s="1854" t="s">
        <v>2336</v>
      </c>
      <c r="D19" s="1854" t="s">
        <v>2337</v>
      </c>
      <c r="E19" s="1854" t="s">
        <v>2338</v>
      </c>
      <c r="F19" s="1854" t="s">
        <v>50</v>
      </c>
      <c r="G19" s="1854" t="s">
        <v>22</v>
      </c>
      <c r="H19" s="1854" t="s">
        <v>22</v>
      </c>
      <c r="I19" s="1854" t="s">
        <v>941</v>
      </c>
    </row>
    <row customHeight="1" ht="11.25">
      <c r="A20" s="1854" t="s">
        <v>2328</v>
      </c>
      <c r="B20" s="1854" t="s">
        <v>16</v>
      </c>
      <c r="C20" s="1854" t="s">
        <v>13</v>
      </c>
      <c r="D20" s="1854" t="s">
        <v>45</v>
      </c>
      <c r="E20" s="1854" t="s">
        <v>48</v>
      </c>
      <c r="F20" s="1854" t="s">
        <v>50</v>
      </c>
      <c r="G20" s="1854" t="s">
        <v>22</v>
      </c>
      <c r="H20" s="1854" t="s">
        <v>22</v>
      </c>
      <c r="I20" s="1854" t="s">
        <v>941</v>
      </c>
    </row>
    <row customHeight="1" ht="11.25">
      <c r="A21" s="1854" t="s">
        <v>2328</v>
      </c>
      <c r="B21" s="1854" t="s">
        <v>16</v>
      </c>
      <c r="C21" s="1854" t="s">
        <v>2339</v>
      </c>
      <c r="D21" s="1854" t="s">
        <v>2340</v>
      </c>
      <c r="E21" s="1854" t="s">
        <v>2341</v>
      </c>
      <c r="F21" s="1854" t="s">
        <v>50</v>
      </c>
      <c r="G21" s="1854" t="s">
        <v>22</v>
      </c>
      <c r="H21" s="1854" t="s">
        <v>22</v>
      </c>
      <c r="I21" s="1854" t="s">
        <v>941</v>
      </c>
    </row>
    <row customHeight="1" ht="11.25">
      <c r="A22" s="1854" t="s">
        <v>2328</v>
      </c>
      <c r="B22" s="1854" t="s">
        <v>16</v>
      </c>
      <c r="C22" s="1854" t="s">
        <v>2345</v>
      </c>
      <c r="D22" s="1854" t="s">
        <v>2346</v>
      </c>
      <c r="E22" s="1854" t="s">
        <v>2347</v>
      </c>
      <c r="F22" s="1854" t="s">
        <v>50</v>
      </c>
      <c r="G22" s="1854" t="s">
        <v>22</v>
      </c>
      <c r="H22" s="1854" t="s">
        <v>22</v>
      </c>
      <c r="I22" s="1854" t="s">
        <v>941</v>
      </c>
    </row>
    <row customHeight="1" ht="11.25">
      <c r="A23" s="1854" t="s">
        <v>2328</v>
      </c>
      <c r="B23" s="1854" t="s">
        <v>16</v>
      </c>
      <c r="C23" s="1854" t="s">
        <v>2348</v>
      </c>
      <c r="D23" s="1854" t="s">
        <v>2349</v>
      </c>
      <c r="E23" s="1854" t="s">
        <v>2350</v>
      </c>
      <c r="F23" s="1854" t="s">
        <v>50</v>
      </c>
      <c r="G23" s="1854" t="s">
        <v>2351</v>
      </c>
      <c r="H23" s="1854" t="s">
        <v>22</v>
      </c>
      <c r="I23" s="1854" t="s">
        <v>941</v>
      </c>
    </row>
    <row customHeight="1" ht="11.25">
      <c r="A24" s="1854" t="s">
        <v>2328</v>
      </c>
      <c r="B24" s="1854" t="s">
        <v>16</v>
      </c>
      <c r="C24" s="1854" t="s">
        <v>2352</v>
      </c>
      <c r="D24" s="1854" t="s">
        <v>2353</v>
      </c>
      <c r="E24" s="1854" t="s">
        <v>2354</v>
      </c>
      <c r="F24" s="1854" t="s">
        <v>2355</v>
      </c>
      <c r="G24" s="1854" t="s">
        <v>22</v>
      </c>
      <c r="H24" s="1854" t="s">
        <v>22</v>
      </c>
      <c r="I24" s="1854" t="s">
        <v>941</v>
      </c>
    </row>
    <row customHeight="1" ht="11.25">
      <c r="A25" s="1854" t="s">
        <v>2328</v>
      </c>
      <c r="B25" s="1854" t="s">
        <v>16</v>
      </c>
      <c r="C25" s="1854" t="s">
        <v>2363</v>
      </c>
      <c r="D25" s="1854" t="s">
        <v>2364</v>
      </c>
      <c r="E25" s="1854" t="s">
        <v>2331</v>
      </c>
      <c r="F25" s="1854" t="s">
        <v>2365</v>
      </c>
      <c r="G25" s="1854" t="s">
        <v>2366</v>
      </c>
      <c r="H25" s="1854" t="s">
        <v>22</v>
      </c>
      <c r="I25" s="1854" t="s">
        <v>941</v>
      </c>
    </row>
    <row customHeight="1" ht="11.25">
      <c r="A26" s="1854" t="s">
        <v>2328</v>
      </c>
      <c r="B26" s="1854" t="s">
        <v>16</v>
      </c>
      <c r="C26" s="1854" t="s">
        <v>22</v>
      </c>
      <c r="D26" s="1854" t="s">
        <v>2367</v>
      </c>
      <c r="E26" s="1854" t="s">
        <v>2368</v>
      </c>
      <c r="F26" s="1854" t="s">
        <v>50</v>
      </c>
      <c r="G26" s="1854" t="s">
        <v>22</v>
      </c>
      <c r="H26" s="1854" t="s">
        <v>22</v>
      </c>
      <c r="I26" s="1854" t="s">
        <v>941</v>
      </c>
    </row>
    <row customHeight="1" ht="11.25">
      <c r="A27" s="1854" t="s">
        <v>2328</v>
      </c>
      <c r="B27" s="1854" t="s">
        <v>16</v>
      </c>
      <c r="C27" s="1854" t="s">
        <v>2373</v>
      </c>
      <c r="D27" s="1854" t="s">
        <v>2374</v>
      </c>
      <c r="E27" s="1854" t="s">
        <v>2371</v>
      </c>
      <c r="F27" s="1854" t="s">
        <v>2375</v>
      </c>
      <c r="G27" s="1854" t="s">
        <v>2376</v>
      </c>
      <c r="H27" s="1854" t="s">
        <v>22</v>
      </c>
      <c r="I27" s="1854" t="s">
        <v>941</v>
      </c>
    </row>
    <row customHeight="1" ht="11.25">
      <c r="A28" s="1854" t="s">
        <v>2328</v>
      </c>
      <c r="B28" s="1854" t="s">
        <v>16</v>
      </c>
      <c r="C28" s="1854" t="s">
        <v>2329</v>
      </c>
      <c r="D28" s="1854" t="s">
        <v>2330</v>
      </c>
      <c r="E28" s="1854" t="s">
        <v>2331</v>
      </c>
      <c r="F28" s="1854" t="s">
        <v>2332</v>
      </c>
      <c r="G28" s="1854" t="s">
        <v>22</v>
      </c>
      <c r="H28" s="1854" t="s">
        <v>22</v>
      </c>
      <c r="I28" s="1854" t="s">
        <v>900</v>
      </c>
    </row>
    <row customHeight="1" ht="11.25">
      <c r="A29" s="1854" t="s">
        <v>2328</v>
      </c>
      <c r="B29" s="1854" t="s">
        <v>16</v>
      </c>
      <c r="C29" s="1854" t="s">
        <v>2336</v>
      </c>
      <c r="D29" s="1854" t="s">
        <v>2337</v>
      </c>
      <c r="E29" s="1854" t="s">
        <v>2338</v>
      </c>
      <c r="F29" s="1854" t="s">
        <v>50</v>
      </c>
      <c r="G29" s="1854" t="s">
        <v>22</v>
      </c>
      <c r="H29" s="1854" t="s">
        <v>22</v>
      </c>
      <c r="I29" s="1854" t="s">
        <v>900</v>
      </c>
    </row>
    <row customHeight="1" ht="11.25">
      <c r="A30" s="1854" t="s">
        <v>2328</v>
      </c>
      <c r="B30" s="1854" t="s">
        <v>16</v>
      </c>
      <c r="C30" s="1854" t="s">
        <v>13</v>
      </c>
      <c r="D30" s="1854" t="s">
        <v>45</v>
      </c>
      <c r="E30" s="1854" t="s">
        <v>48</v>
      </c>
      <c r="F30" s="1854" t="s">
        <v>50</v>
      </c>
      <c r="G30" s="1854" t="s">
        <v>22</v>
      </c>
      <c r="H30" s="1854" t="s">
        <v>22</v>
      </c>
      <c r="I30" s="1854" t="s">
        <v>900</v>
      </c>
    </row>
    <row customHeight="1" ht="11.25">
      <c r="A31" s="1854" t="s">
        <v>2328</v>
      </c>
      <c r="B31" s="1854" t="s">
        <v>16</v>
      </c>
      <c r="C31" s="1854" t="s">
        <v>2377</v>
      </c>
      <c r="D31" s="1854" t="s">
        <v>2378</v>
      </c>
      <c r="E31" s="1854" t="s">
        <v>2379</v>
      </c>
      <c r="F31" s="1854" t="s">
        <v>50</v>
      </c>
      <c r="G31" s="1854" t="s">
        <v>22</v>
      </c>
      <c r="H31" s="1854" t="s">
        <v>22</v>
      </c>
      <c r="I31" s="1854" t="s">
        <v>900</v>
      </c>
    </row>
    <row customHeight="1" ht="11.25">
      <c r="A32" s="1854" t="s">
        <v>2328</v>
      </c>
      <c r="B32" s="1854" t="s">
        <v>16</v>
      </c>
      <c r="C32" s="1854" t="s">
        <v>2380</v>
      </c>
      <c r="D32" s="1854" t="s">
        <v>2381</v>
      </c>
      <c r="E32" s="1854" t="s">
        <v>2382</v>
      </c>
      <c r="F32" s="1854" t="s">
        <v>50</v>
      </c>
      <c r="G32" s="1854" t="s">
        <v>2383</v>
      </c>
      <c r="H32" s="1854" t="s">
        <v>22</v>
      </c>
      <c r="I32" s="1854" t="s">
        <v>900</v>
      </c>
    </row>
    <row customHeight="1" ht="11.25">
      <c r="A33" s="1854" t="s">
        <v>2328</v>
      </c>
      <c r="B33" s="1854" t="s">
        <v>16</v>
      </c>
      <c r="C33" s="1854" t="s">
        <v>2384</v>
      </c>
      <c r="D33" s="1854" t="s">
        <v>2385</v>
      </c>
      <c r="E33" s="1854" t="s">
        <v>2386</v>
      </c>
      <c r="F33" s="1854" t="s">
        <v>50</v>
      </c>
      <c r="G33" s="1854" t="s">
        <v>22</v>
      </c>
      <c r="H33" s="1854" t="s">
        <v>22</v>
      </c>
      <c r="I33" s="1854" t="s">
        <v>900</v>
      </c>
    </row>
    <row customHeight="1" ht="11.25">
      <c r="A34" s="1854" t="s">
        <v>2328</v>
      </c>
      <c r="B34" s="1854" t="s">
        <v>16</v>
      </c>
      <c r="C34" s="1854" t="s">
        <v>2387</v>
      </c>
      <c r="D34" s="1854" t="s">
        <v>2388</v>
      </c>
      <c r="E34" s="1854" t="s">
        <v>2389</v>
      </c>
      <c r="F34" s="1854" t="s">
        <v>50</v>
      </c>
      <c r="G34" s="1854" t="s">
        <v>2390</v>
      </c>
      <c r="H34" s="1854" t="s">
        <v>22</v>
      </c>
      <c r="I34" s="1854" t="s">
        <v>900</v>
      </c>
    </row>
    <row customHeight="1" ht="11.25">
      <c r="A35" s="1854" t="s">
        <v>2328</v>
      </c>
      <c r="B35" s="1854" t="s">
        <v>16</v>
      </c>
      <c r="C35" s="1854" t="s">
        <v>2339</v>
      </c>
      <c r="D35" s="1854" t="s">
        <v>2340</v>
      </c>
      <c r="E35" s="1854" t="s">
        <v>2341</v>
      </c>
      <c r="F35" s="1854" t="s">
        <v>50</v>
      </c>
      <c r="G35" s="1854" t="s">
        <v>22</v>
      </c>
      <c r="H35" s="1854" t="s">
        <v>22</v>
      </c>
      <c r="I35" s="1854" t="s">
        <v>900</v>
      </c>
    </row>
    <row customHeight="1" ht="11.25">
      <c r="A36" s="1854" t="s">
        <v>2328</v>
      </c>
      <c r="B36" s="1854" t="s">
        <v>16</v>
      </c>
      <c r="C36" s="1854" t="s">
        <v>2342</v>
      </c>
      <c r="D36" s="1854" t="s">
        <v>2343</v>
      </c>
      <c r="E36" s="1854" t="s">
        <v>2344</v>
      </c>
      <c r="F36" s="1854" t="s">
        <v>50</v>
      </c>
      <c r="G36" s="1854" t="s">
        <v>22</v>
      </c>
      <c r="H36" s="1854" t="s">
        <v>22</v>
      </c>
      <c r="I36" s="1854" t="s">
        <v>900</v>
      </c>
    </row>
    <row customHeight="1" ht="11.25">
      <c r="A37" s="1854" t="s">
        <v>2328</v>
      </c>
      <c r="B37" s="1854" t="s">
        <v>16</v>
      </c>
      <c r="C37" s="1854" t="s">
        <v>2345</v>
      </c>
      <c r="D37" s="1854" t="s">
        <v>2346</v>
      </c>
      <c r="E37" s="1854" t="s">
        <v>2347</v>
      </c>
      <c r="F37" s="1854" t="s">
        <v>50</v>
      </c>
      <c r="G37" s="1854" t="s">
        <v>22</v>
      </c>
      <c r="H37" s="1854" t="s">
        <v>22</v>
      </c>
      <c r="I37" s="1854" t="s">
        <v>900</v>
      </c>
    </row>
    <row customHeight="1" ht="11.25">
      <c r="A38" s="1854" t="s">
        <v>2328</v>
      </c>
      <c r="B38" s="1854" t="s">
        <v>16</v>
      </c>
      <c r="C38" s="1854" t="s">
        <v>2352</v>
      </c>
      <c r="D38" s="1854" t="s">
        <v>2353</v>
      </c>
      <c r="E38" s="1854" t="s">
        <v>2354</v>
      </c>
      <c r="F38" s="1854" t="s">
        <v>2355</v>
      </c>
      <c r="G38" s="1854" t="s">
        <v>22</v>
      </c>
      <c r="H38" s="1854" t="s">
        <v>22</v>
      </c>
      <c r="I38" s="1854" t="s">
        <v>900</v>
      </c>
    </row>
    <row customHeight="1" ht="11.25">
      <c r="A39" s="1854" t="s">
        <v>2328</v>
      </c>
      <c r="B39" s="1854" t="s">
        <v>16</v>
      </c>
      <c r="C39" s="1854" t="s">
        <v>2360</v>
      </c>
      <c r="D39" s="1854" t="s">
        <v>2361</v>
      </c>
      <c r="E39" s="1854" t="s">
        <v>2362</v>
      </c>
      <c r="F39" s="1854" t="s">
        <v>50</v>
      </c>
      <c r="G39" s="1854" t="s">
        <v>22</v>
      </c>
      <c r="H39" s="1854" t="s">
        <v>22</v>
      </c>
      <c r="I39" s="1854" t="s">
        <v>900</v>
      </c>
    </row>
    <row customHeight="1" ht="11.25">
      <c r="A40" s="1854" t="s">
        <v>2328</v>
      </c>
      <c r="B40" s="1854" t="s">
        <v>16</v>
      </c>
      <c r="C40" s="1854" t="s">
        <v>2363</v>
      </c>
      <c r="D40" s="1854" t="s">
        <v>2364</v>
      </c>
      <c r="E40" s="1854" t="s">
        <v>2331</v>
      </c>
      <c r="F40" s="1854" t="s">
        <v>2365</v>
      </c>
      <c r="G40" s="1854" t="s">
        <v>2366</v>
      </c>
      <c r="H40" s="1854" t="s">
        <v>22</v>
      </c>
      <c r="I40" s="1854" t="s">
        <v>900</v>
      </c>
    </row>
    <row customHeight="1" ht="11.25">
      <c r="A41" s="1854" t="s">
        <v>2328</v>
      </c>
      <c r="B41" s="1854" t="s">
        <v>16</v>
      </c>
      <c r="C41" s="1854" t="s">
        <v>22</v>
      </c>
      <c r="D41" s="1854" t="s">
        <v>2367</v>
      </c>
      <c r="E41" s="1854" t="s">
        <v>2368</v>
      </c>
      <c r="F41" s="1854" t="s">
        <v>50</v>
      </c>
      <c r="G41" s="1854" t="s">
        <v>22</v>
      </c>
      <c r="H41" s="1854" t="s">
        <v>22</v>
      </c>
      <c r="I41" s="1854" t="s">
        <v>900</v>
      </c>
    </row>
    <row customHeight="1" ht="11.25">
      <c r="A42" s="1854" t="s">
        <v>2328</v>
      </c>
      <c r="B42" s="1854" t="s">
        <v>16</v>
      </c>
      <c r="C42" s="1854" t="s">
        <v>2369</v>
      </c>
      <c r="D42" s="1854" t="s">
        <v>2370</v>
      </c>
      <c r="E42" s="1854" t="s">
        <v>2371</v>
      </c>
      <c r="F42" s="1854" t="s">
        <v>2372</v>
      </c>
      <c r="G42" s="1854" t="s">
        <v>22</v>
      </c>
      <c r="H42" s="1854" t="s">
        <v>22</v>
      </c>
      <c r="I42" s="1854" t="s">
        <v>900</v>
      </c>
    </row>
    <row customHeight="1" ht="11.25">
      <c r="A43" s="1854" t="s">
        <v>2328</v>
      </c>
      <c r="B43" s="1854" t="s">
        <v>16</v>
      </c>
      <c r="C43" s="1854" t="s">
        <v>2373</v>
      </c>
      <c r="D43" s="1854" t="s">
        <v>2374</v>
      </c>
      <c r="E43" s="1854" t="s">
        <v>2371</v>
      </c>
      <c r="F43" s="1854" t="s">
        <v>2375</v>
      </c>
      <c r="G43" s="1854" t="s">
        <v>2376</v>
      </c>
      <c r="H43" s="1854" t="s">
        <v>22</v>
      </c>
      <c r="I43" s="1854" t="s">
        <v>900</v>
      </c>
    </row>
    <row customHeight="1" ht="11.25">
      <c r="A44" s="1854" t="s">
        <v>2328</v>
      </c>
      <c r="B44" s="1854" t="s">
        <v>16</v>
      </c>
      <c r="C44" s="1854" t="s">
        <v>2329</v>
      </c>
      <c r="D44" s="1854" t="s">
        <v>2330</v>
      </c>
      <c r="E44" s="1854" t="s">
        <v>2331</v>
      </c>
      <c r="F44" s="1854" t="s">
        <v>2332</v>
      </c>
      <c r="G44" s="1854" t="s">
        <v>22</v>
      </c>
      <c r="H44" s="1854" t="s">
        <v>22</v>
      </c>
      <c r="I44" s="1854" t="s">
        <v>954</v>
      </c>
    </row>
    <row customHeight="1" ht="11.25">
      <c r="A45" s="1854" t="s">
        <v>2328</v>
      </c>
      <c r="B45" s="1854" t="s">
        <v>16</v>
      </c>
      <c r="C45" s="1854" t="s">
        <v>2387</v>
      </c>
      <c r="D45" s="1854" t="s">
        <v>2388</v>
      </c>
      <c r="E45" s="1854" t="s">
        <v>2389</v>
      </c>
      <c r="F45" s="1854" t="s">
        <v>50</v>
      </c>
      <c r="G45" s="1854" t="s">
        <v>2390</v>
      </c>
      <c r="H45" s="1854" t="s">
        <v>22</v>
      </c>
      <c r="I45" s="1854" t="s">
        <v>954</v>
      </c>
    </row>
    <row customHeight="1" ht="11.25">
      <c r="A46" s="1854" t="s">
        <v>2328</v>
      </c>
      <c r="B46" s="1854" t="s">
        <v>16</v>
      </c>
      <c r="C46" s="1854" t="s">
        <v>2339</v>
      </c>
      <c r="D46" s="1854" t="s">
        <v>2340</v>
      </c>
      <c r="E46" s="1854" t="s">
        <v>2341</v>
      </c>
      <c r="F46" s="1854" t="s">
        <v>50</v>
      </c>
      <c r="G46" s="1854" t="s">
        <v>22</v>
      </c>
      <c r="H46" s="1854" t="s">
        <v>22</v>
      </c>
      <c r="I46" s="1854" t="s">
        <v>954</v>
      </c>
    </row>
    <row customHeight="1" ht="11.25">
      <c r="A47" s="1854" t="s">
        <v>2328</v>
      </c>
      <c r="B47" s="1854" t="s">
        <v>16</v>
      </c>
      <c r="C47" s="1854" t="s">
        <v>2345</v>
      </c>
      <c r="D47" s="1854" t="s">
        <v>2346</v>
      </c>
      <c r="E47" s="1854" t="s">
        <v>2347</v>
      </c>
      <c r="F47" s="1854" t="s">
        <v>50</v>
      </c>
      <c r="G47" s="1854" t="s">
        <v>22</v>
      </c>
      <c r="H47" s="1854" t="s">
        <v>22</v>
      </c>
      <c r="I47" s="1854" t="s">
        <v>954</v>
      </c>
    </row>
    <row customHeight="1" ht="11.25">
      <c r="A48" s="1854" t="s">
        <v>2328</v>
      </c>
      <c r="B48" s="1854" t="s">
        <v>16</v>
      </c>
      <c r="C48" s="1854" t="s">
        <v>2352</v>
      </c>
      <c r="D48" s="1854" t="s">
        <v>2353</v>
      </c>
      <c r="E48" s="1854" t="s">
        <v>2354</v>
      </c>
      <c r="F48" s="1854" t="s">
        <v>2355</v>
      </c>
      <c r="G48" s="1854" t="s">
        <v>22</v>
      </c>
      <c r="H48" s="1854" t="s">
        <v>22</v>
      </c>
      <c r="I48" s="1854" t="s">
        <v>954</v>
      </c>
    </row>
    <row customHeight="1" ht="11.25">
      <c r="A49" s="1854" t="s">
        <v>2328</v>
      </c>
      <c r="B49" s="1854" t="s">
        <v>16</v>
      </c>
      <c r="C49" s="1854" t="s">
        <v>2363</v>
      </c>
      <c r="D49" s="1854" t="s">
        <v>2364</v>
      </c>
      <c r="E49" s="1854" t="s">
        <v>2331</v>
      </c>
      <c r="F49" s="1854" t="s">
        <v>2365</v>
      </c>
      <c r="G49" s="1854" t="s">
        <v>2366</v>
      </c>
      <c r="H49" s="1854" t="s">
        <v>22</v>
      </c>
      <c r="I49" s="1854" t="s">
        <v>954</v>
      </c>
    </row>
    <row customHeight="1" ht="11.25">
      <c r="A50" s="1854" t="s">
        <v>2328</v>
      </c>
      <c r="B50" s="1854" t="s">
        <v>16</v>
      </c>
      <c r="C50" s="1854" t="s">
        <v>22</v>
      </c>
      <c r="D50" s="1854" t="s">
        <v>2367</v>
      </c>
      <c r="E50" s="1854" t="s">
        <v>2368</v>
      </c>
      <c r="F50" s="1854" t="s">
        <v>50</v>
      </c>
      <c r="G50" s="1854" t="s">
        <v>22</v>
      </c>
      <c r="H50" s="1854" t="s">
        <v>22</v>
      </c>
      <c r="I50" s="1854" t="s">
        <v>954</v>
      </c>
    </row>
    <row customHeight="1" ht="11.25">
      <c r="A51" s="1854" t="s">
        <v>2328</v>
      </c>
      <c r="B51" s="1854" t="s">
        <v>16</v>
      </c>
      <c r="C51" s="1854" t="s">
        <v>2391</v>
      </c>
      <c r="D51" s="1854" t="s">
        <v>2392</v>
      </c>
      <c r="E51" s="1854" t="s">
        <v>2393</v>
      </c>
      <c r="F51" s="1854" t="s">
        <v>2394</v>
      </c>
      <c r="G51" s="1854" t="s">
        <v>22</v>
      </c>
      <c r="H51" s="1854" t="s">
        <v>22</v>
      </c>
      <c r="I51" s="1854" t="s">
        <v>1708</v>
      </c>
    </row>
    <row customHeight="1" ht="11.25">
      <c r="A52" s="1854" t="s">
        <v>2328</v>
      </c>
      <c r="B52" s="1854" t="s">
        <v>16</v>
      </c>
      <c r="C52" s="1854" t="s">
        <v>2395</v>
      </c>
      <c r="D52" s="1854" t="s">
        <v>2396</v>
      </c>
      <c r="E52" s="1854" t="s">
        <v>2397</v>
      </c>
      <c r="F52" s="1854" t="s">
        <v>574</v>
      </c>
      <c r="G52" s="1854" t="s">
        <v>2398</v>
      </c>
      <c r="H52" s="1854" t="s">
        <v>22</v>
      </c>
      <c r="I52" s="1854" t="s">
        <v>1708</v>
      </c>
    </row>
    <row customHeight="1" ht="11.25">
      <c r="A53" s="1854" t="s">
        <v>2328</v>
      </c>
      <c r="B53" s="1854" t="s">
        <v>16</v>
      </c>
      <c r="C53" s="1854" t="s">
        <v>2339</v>
      </c>
      <c r="D53" s="1854" t="s">
        <v>2340</v>
      </c>
      <c r="E53" s="1854" t="s">
        <v>2341</v>
      </c>
      <c r="F53" s="1854" t="s">
        <v>50</v>
      </c>
      <c r="G53" s="1854" t="s">
        <v>22</v>
      </c>
      <c r="H53" s="1854" t="s">
        <v>22</v>
      </c>
      <c r="I53" s="1854" t="s">
        <v>1708</v>
      </c>
    </row>
    <row customHeight="1" ht="11.25">
      <c r="A54" s="1854" t="s">
        <v>2328</v>
      </c>
      <c r="B54" s="1854" t="s">
        <v>16</v>
      </c>
      <c r="C54" s="1854" t="s">
        <v>2399</v>
      </c>
      <c r="D54" s="1854" t="s">
        <v>2400</v>
      </c>
      <c r="E54" s="1854" t="s">
        <v>2401</v>
      </c>
      <c r="F54" s="1854" t="s">
        <v>50</v>
      </c>
      <c r="G54" s="1854" t="s">
        <v>2402</v>
      </c>
      <c r="H54" s="1854" t="s">
        <v>22</v>
      </c>
      <c r="I54" s="1854" t="s">
        <v>1708</v>
      </c>
    </row>
    <row customHeight="1" ht="11.25">
      <c r="A55" s="1854" t="s">
        <v>2328</v>
      </c>
      <c r="B55" s="1854" t="s">
        <v>16</v>
      </c>
      <c r="C55" s="1854" t="s">
        <v>2403</v>
      </c>
      <c r="D55" s="1854" t="s">
        <v>2404</v>
      </c>
      <c r="E55" s="1854" t="s">
        <v>2405</v>
      </c>
      <c r="F55" s="1854" t="s">
        <v>50</v>
      </c>
      <c r="G55" s="1854" t="s">
        <v>22</v>
      </c>
      <c r="H55" s="1854" t="s">
        <v>22</v>
      </c>
      <c r="I55" s="1854" t="s">
        <v>1708</v>
      </c>
    </row>
    <row customHeight="1" ht="11.25">
      <c r="A56" s="1854" t="s">
        <v>2328</v>
      </c>
      <c r="B56" s="1854" t="s">
        <v>16</v>
      </c>
      <c r="C56" s="1854" t="s">
        <v>22</v>
      </c>
      <c r="D56" s="1854" t="s">
        <v>2367</v>
      </c>
      <c r="E56" s="1854" t="s">
        <v>2368</v>
      </c>
      <c r="F56" s="1854" t="s">
        <v>50</v>
      </c>
      <c r="G56" s="1854" t="s">
        <v>22</v>
      </c>
      <c r="H56" s="1854" t="s">
        <v>22</v>
      </c>
      <c r="I56" s="1854" t="s">
        <v>1708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B79C7-6E6B-27D3-7665-0.3090C481}" mc:Ignorable="x14ac xr xr2 xr3">
  <sheetPr>
    <tabColor rgb="FFFFCC99"/>
  </sheetPr>
  <dimension ref="A1:G23"/>
  <sheetViews>
    <sheetView topLeftCell="A1" showGridLines="0" workbookViewId="0">
      <selection activeCell="A1" sqref="A1"/>
    </sheetView>
  </sheetViews>
  <sheetFormatPr customHeight="1" defaultRowHeight="11.25"/>
  <cols>
    <col min="1" max="1" style="1854" width="9.140625"/>
  </cols>
  <sheetData>
    <row customHeight="1" ht="11.25">
      <c r="A1" s="380" t="s">
        <v>2406</v>
      </c>
      <c r="B1" s="71" t="s">
        <v>2407</v>
      </c>
      <c r="C1" s="71" t="s">
        <v>2408</v>
      </c>
      <c r="D1" s="71" t="s">
        <v>2409</v>
      </c>
      <c r="E1" s="68" t="s">
        <v>2410</v>
      </c>
      <c r="F1" s="68" t="s">
        <v>2411</v>
      </c>
      <c r="G1" s="68" t="s">
        <v>2412</v>
      </c>
    </row>
    <row customHeight="1" ht="11.25">
      <c r="A2" s="380" t="s">
        <v>16</v>
      </c>
      <c r="B2" s="0" t="s">
        <v>99</v>
      </c>
      <c r="C2" s="0" t="s">
        <v>2413</v>
      </c>
      <c r="D2" s="0" t="s">
        <v>99</v>
      </c>
      <c r="E2" s="0" t="s">
        <v>2413</v>
      </c>
      <c r="F2" s="0" t="s">
        <v>2414</v>
      </c>
      <c r="G2" s="0" t="s">
        <v>109</v>
      </c>
    </row>
    <row customHeight="1" ht="11.25">
      <c r="A3" s="380" t="s">
        <v>16</v>
      </c>
      <c r="B3" s="0" t="s">
        <v>99</v>
      </c>
      <c r="C3" s="0" t="s">
        <v>2413</v>
      </c>
      <c r="D3" s="0" t="s">
        <v>2415</v>
      </c>
      <c r="E3" s="0" t="s">
        <v>2416</v>
      </c>
      <c r="F3" s="0" t="s">
        <v>2417</v>
      </c>
      <c r="G3" s="0" t="s">
        <v>110</v>
      </c>
    </row>
    <row customHeight="1" ht="11.25">
      <c r="A4" s="380" t="s">
        <v>16</v>
      </c>
      <c r="B4" s="0" t="s">
        <v>99</v>
      </c>
      <c r="C4" s="0" t="s">
        <v>2413</v>
      </c>
      <c r="D4" s="0" t="s">
        <v>2418</v>
      </c>
      <c r="E4" s="0" t="s">
        <v>2419</v>
      </c>
      <c r="F4" s="0" t="s">
        <v>2417</v>
      </c>
      <c r="G4" s="0" t="s">
        <v>89</v>
      </c>
    </row>
    <row customHeight="1" ht="11.25">
      <c r="A5" s="380" t="s">
        <v>16</v>
      </c>
      <c r="B5" s="0" t="s">
        <v>99</v>
      </c>
      <c r="C5" s="0" t="s">
        <v>2413</v>
      </c>
      <c r="D5" s="0" t="s">
        <v>2420</v>
      </c>
      <c r="E5" s="0" t="s">
        <v>2421</v>
      </c>
      <c r="F5" s="0" t="s">
        <v>2417</v>
      </c>
      <c r="G5" s="0" t="s">
        <v>90</v>
      </c>
    </row>
    <row customHeight="1" ht="11.25">
      <c r="A6" s="380" t="s">
        <v>16</v>
      </c>
      <c r="B6" s="0" t="s">
        <v>99</v>
      </c>
      <c r="C6" s="0" t="s">
        <v>2413</v>
      </c>
      <c r="D6" s="0" t="s">
        <v>2422</v>
      </c>
      <c r="E6" s="0" t="s">
        <v>2423</v>
      </c>
      <c r="F6" s="0" t="s">
        <v>2417</v>
      </c>
      <c r="G6" s="0" t="s">
        <v>111</v>
      </c>
    </row>
    <row customHeight="1" ht="11.25">
      <c r="A7" s="380" t="s">
        <v>16</v>
      </c>
      <c r="B7" s="0" t="s">
        <v>99</v>
      </c>
      <c r="C7" s="0" t="s">
        <v>2413</v>
      </c>
      <c r="D7" s="0" t="s">
        <v>2424</v>
      </c>
      <c r="E7" s="0" t="s">
        <v>2425</v>
      </c>
      <c r="F7" s="0" t="s">
        <v>2417</v>
      </c>
      <c r="G7" s="0" t="s">
        <v>91</v>
      </c>
    </row>
    <row customHeight="1" ht="11.25">
      <c r="A8" s="380" t="s">
        <v>16</v>
      </c>
      <c r="B8" s="0" t="s">
        <v>99</v>
      </c>
      <c r="C8" s="0" t="s">
        <v>2413</v>
      </c>
      <c r="D8" s="0" t="s">
        <v>2426</v>
      </c>
      <c r="E8" s="0" t="s">
        <v>2427</v>
      </c>
      <c r="F8" s="0" t="s">
        <v>2417</v>
      </c>
      <c r="G8" s="0" t="s">
        <v>92</v>
      </c>
    </row>
    <row customHeight="1" ht="11.25">
      <c r="A9" s="380" t="s">
        <v>16</v>
      </c>
      <c r="B9" s="0" t="s">
        <v>99</v>
      </c>
      <c r="C9" s="0" t="s">
        <v>2413</v>
      </c>
      <c r="D9" s="0" t="s">
        <v>2428</v>
      </c>
      <c r="E9" s="0" t="s">
        <v>2429</v>
      </c>
      <c r="F9" s="0" t="s">
        <v>2417</v>
      </c>
      <c r="G9" s="0" t="s">
        <v>112</v>
      </c>
    </row>
    <row customHeight="1" ht="11.25">
      <c r="A10" s="380" t="s">
        <v>16</v>
      </c>
      <c r="B10" s="0" t="s">
        <v>99</v>
      </c>
      <c r="C10" s="0" t="s">
        <v>2413</v>
      </c>
      <c r="D10" s="0" t="s">
        <v>2430</v>
      </c>
      <c r="E10" s="0" t="s">
        <v>2431</v>
      </c>
      <c r="F10" s="0" t="s">
        <v>2432</v>
      </c>
      <c r="G10" s="0" t="s">
        <v>149</v>
      </c>
    </row>
    <row customHeight="1" ht="11.25">
      <c r="A11" s="380" t="s">
        <v>16</v>
      </c>
      <c r="B11" s="0" t="s">
        <v>99</v>
      </c>
      <c r="C11" s="0" t="s">
        <v>2413</v>
      </c>
      <c r="D11" s="0" t="s">
        <v>2433</v>
      </c>
      <c r="E11" s="0" t="s">
        <v>2434</v>
      </c>
      <c r="F11" s="0" t="s">
        <v>2417</v>
      </c>
      <c r="G11" s="0" t="s">
        <v>150</v>
      </c>
    </row>
    <row customHeight="1" ht="11.25">
      <c r="A12" s="380" t="s">
        <v>16</v>
      </c>
      <c r="B12" s="0" t="s">
        <v>99</v>
      </c>
      <c r="C12" s="0" t="s">
        <v>2413</v>
      </c>
      <c r="D12" s="0" t="s">
        <v>2435</v>
      </c>
      <c r="E12" s="0" t="s">
        <v>2436</v>
      </c>
      <c r="F12" s="0" t="s">
        <v>2417</v>
      </c>
      <c r="G12" s="0" t="s">
        <v>151</v>
      </c>
    </row>
    <row customHeight="1" ht="11.25">
      <c r="A13" s="380" t="s">
        <v>16</v>
      </c>
      <c r="B13" s="0" t="s">
        <v>99</v>
      </c>
      <c r="C13" s="0" t="s">
        <v>2413</v>
      </c>
      <c r="D13" s="0" t="s">
        <v>2437</v>
      </c>
      <c r="E13" s="0" t="s">
        <v>2438</v>
      </c>
      <c r="F13" s="0" t="s">
        <v>2417</v>
      </c>
      <c r="G13" s="0" t="s">
        <v>152</v>
      </c>
    </row>
    <row customHeight="1" ht="11.25">
      <c r="A14" s="380" t="s">
        <v>16</v>
      </c>
      <c r="B14" s="0" t="s">
        <v>99</v>
      </c>
      <c r="C14" s="0" t="s">
        <v>2413</v>
      </c>
      <c r="D14" s="0" t="s">
        <v>2439</v>
      </c>
      <c r="E14" s="0" t="s">
        <v>2440</v>
      </c>
      <c r="F14" s="0" t="s">
        <v>2417</v>
      </c>
      <c r="G14" s="0" t="s">
        <v>153</v>
      </c>
    </row>
    <row customHeight="1" ht="11.25">
      <c r="A15" s="380" t="s">
        <v>16</v>
      </c>
      <c r="B15" s="0" t="s">
        <v>99</v>
      </c>
      <c r="C15" s="0" t="s">
        <v>2413</v>
      </c>
      <c r="D15" s="0" t="s">
        <v>2441</v>
      </c>
      <c r="E15" s="0" t="s">
        <v>2442</v>
      </c>
      <c r="F15" s="0" t="s">
        <v>2417</v>
      </c>
      <c r="G15" s="0" t="s">
        <v>154</v>
      </c>
    </row>
    <row customHeight="1" ht="11.25">
      <c r="A16" s="380" t="s">
        <v>16</v>
      </c>
      <c r="B16" s="0" t="s">
        <v>99</v>
      </c>
      <c r="C16" s="0" t="s">
        <v>2413</v>
      </c>
      <c r="D16" s="0" t="s">
        <v>100</v>
      </c>
      <c r="E16" s="0" t="s">
        <v>101</v>
      </c>
      <c r="F16" s="0" t="s">
        <v>2443</v>
      </c>
      <c r="G16" s="0" t="s">
        <v>98</v>
      </c>
    </row>
    <row customHeight="1" ht="11.25">
      <c r="A17" s="380" t="s">
        <v>16</v>
      </c>
      <c r="B17" s="0" t="s">
        <v>99</v>
      </c>
      <c r="C17" s="0" t="s">
        <v>2413</v>
      </c>
      <c r="D17" s="0" t="s">
        <v>2444</v>
      </c>
      <c r="E17" s="0" t="s">
        <v>2445</v>
      </c>
      <c r="F17" s="0" t="s">
        <v>2417</v>
      </c>
      <c r="G17" s="0" t="s">
        <v>1558</v>
      </c>
    </row>
    <row customHeight="1" ht="11.25">
      <c r="A18" s="380" t="s">
        <v>16</v>
      </c>
      <c r="B18" s="0" t="s">
        <v>99</v>
      </c>
      <c r="C18" s="0" t="s">
        <v>2413</v>
      </c>
      <c r="D18" s="0" t="s">
        <v>2446</v>
      </c>
      <c r="E18" s="0" t="s">
        <v>2447</v>
      </c>
      <c r="F18" s="0" t="s">
        <v>2417</v>
      </c>
      <c r="G18" s="0" t="s">
        <v>1570</v>
      </c>
    </row>
    <row customHeight="1" ht="11.25">
      <c r="A19" s="380" t="s">
        <v>16</v>
      </c>
      <c r="B19" s="0" t="s">
        <v>99</v>
      </c>
      <c r="C19" s="0" t="s">
        <v>2413</v>
      </c>
      <c r="D19" s="0" t="s">
        <v>2448</v>
      </c>
      <c r="E19" s="0" t="s">
        <v>2449</v>
      </c>
      <c r="F19" s="0" t="s">
        <v>2417</v>
      </c>
      <c r="G19" s="0" t="s">
        <v>1584</v>
      </c>
    </row>
    <row customHeight="1" ht="11.25">
      <c r="A20" s="380" t="s">
        <v>16</v>
      </c>
      <c r="B20" s="0" t="s">
        <v>99</v>
      </c>
      <c r="C20" s="0" t="s">
        <v>2413</v>
      </c>
      <c r="D20" s="0" t="s">
        <v>2450</v>
      </c>
      <c r="E20" s="0" t="s">
        <v>2451</v>
      </c>
      <c r="F20" s="0" t="s">
        <v>2417</v>
      </c>
      <c r="G20" s="0" t="s">
        <v>1596</v>
      </c>
    </row>
    <row customHeight="1" ht="11.25">
      <c r="A21" s="380" t="s">
        <v>16</v>
      </c>
      <c r="B21" s="0" t="s">
        <v>99</v>
      </c>
      <c r="C21" s="0" t="s">
        <v>2413</v>
      </c>
      <c r="D21" s="0" t="s">
        <v>2452</v>
      </c>
      <c r="E21" s="0" t="s">
        <v>2453</v>
      </c>
      <c r="F21" s="0" t="s">
        <v>2417</v>
      </c>
      <c r="G21" s="0" t="s">
        <v>1605</v>
      </c>
    </row>
    <row customHeight="1" ht="11.25">
      <c r="A22" s="380" t="s">
        <v>16</v>
      </c>
      <c r="B22" s="0" t="s">
        <v>99</v>
      </c>
      <c r="C22" s="0" t="s">
        <v>2413</v>
      </c>
      <c r="D22" s="0" t="s">
        <v>2454</v>
      </c>
      <c r="E22" s="0" t="s">
        <v>2455</v>
      </c>
      <c r="F22" s="0" t="s">
        <v>2417</v>
      </c>
      <c r="G22" s="0" t="s">
        <v>1621</v>
      </c>
    </row>
    <row customHeight="1" ht="11.25">
      <c r="A23" s="380" t="s">
        <v>16</v>
      </c>
      <c r="B23" s="0" t="s">
        <v>2456</v>
      </c>
      <c r="C23" s="0" t="s">
        <v>2457</v>
      </c>
      <c r="D23" s="0" t="s">
        <v>2456</v>
      </c>
      <c r="E23" s="0" t="s">
        <v>2457</v>
      </c>
      <c r="F23" s="0" t="s">
        <v>2458</v>
      </c>
      <c r="G23" s="0" t="s">
        <v>1628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5E55E-CE39-7975-4D78-0.DB100F51}"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2" t="s">
        <v>2459</v>
      </c>
      <c r="B1" s="842" t="s">
        <v>2460</v>
      </c>
      <c r="C1" s="1166" t="s">
        <v>2461</v>
      </c>
      <c r="D1" s="842" t="s">
        <v>2462</v>
      </c>
      <c r="E1" s="842" t="s">
        <v>2463</v>
      </c>
      <c r="F1" s="1166" t="s">
        <v>2464</v>
      </c>
      <c r="G1" s="1166" t="s">
        <v>2465</v>
      </c>
      <c r="H1" s="1166" t="s">
        <v>2466</v>
      </c>
      <c r="I1" s="1166" t="s">
        <v>2467</v>
      </c>
    </row>
    <row customHeight="1" ht="11.25">
      <c r="A2" s="1697" t="s">
        <v>109</v>
      </c>
      <c r="B2" s="1697" t="s">
        <v>1031</v>
      </c>
      <c r="C2" s="1697" t="s">
        <v>2468</v>
      </c>
      <c r="D2" s="1697" t="s">
        <v>1035</v>
      </c>
      <c r="E2" s="1697" t="s">
        <v>1036</v>
      </c>
      <c r="F2" s="1697" t="s">
        <v>1037</v>
      </c>
      <c r="G2" s="1697" t="s">
        <v>1038</v>
      </c>
      <c r="H2" s="1697" t="s">
        <v>1039</v>
      </c>
      <c r="I2" s="1697" t="s">
        <v>1040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67581-592D-A554-6A2B-0.A546AC5B}" mc:Ignorable="x14ac xr xr2 xr3">
  <sheetPr>
    <tabColor rgb="FFFFCC99"/>
  </sheetPr>
  <dimension ref="A1:AK9"/>
  <sheetViews>
    <sheetView topLeftCell="A1" workbookViewId="0">
      <selection activeCell="A1" sqref="A1"/>
    </sheetView>
  </sheetViews>
  <sheetFormatPr customHeight="1" defaultRowHeight="11.25"/>
  <sheetData>
    <row customHeight="1" ht="11.25">
      <c r="A1" s="0" t="s">
        <v>2322</v>
      </c>
      <c r="B1" s="0" t="s">
        <v>2323</v>
      </c>
      <c r="C1" s="0" t="s">
        <v>2324</v>
      </c>
      <c r="D1" s="0" t="s">
        <v>2469</v>
      </c>
      <c r="E1" s="0" t="s">
        <v>2470</v>
      </c>
      <c r="F1" s="0" t="s">
        <v>2471</v>
      </c>
      <c r="G1" s="0" t="s">
        <v>2472</v>
      </c>
      <c r="H1" s="0" t="s">
        <v>2473</v>
      </c>
      <c r="I1" s="0" t="s">
        <v>2474</v>
      </c>
      <c r="J1" s="0" t="s">
        <v>2475</v>
      </c>
      <c r="K1" s="0" t="s">
        <v>2476</v>
      </c>
      <c r="L1" s="0" t="s">
        <v>2477</v>
      </c>
      <c r="M1" s="0" t="s">
        <v>2478</v>
      </c>
      <c r="N1" s="0" t="s">
        <v>2479</v>
      </c>
      <c r="O1" s="0" t="s">
        <v>2407</v>
      </c>
      <c r="P1" s="0" t="s">
        <v>2409</v>
      </c>
      <c r="Q1" s="0" t="s">
        <v>2410</v>
      </c>
      <c r="R1" s="0" t="s">
        <v>2480</v>
      </c>
      <c r="S1" s="0" t="s">
        <v>2481</v>
      </c>
      <c r="T1" s="0" t="s">
        <v>2482</v>
      </c>
      <c r="U1" s="0" t="s">
        <v>2483</v>
      </c>
      <c r="V1" s="0" t="s">
        <v>2484</v>
      </c>
      <c r="W1" s="0" t="s">
        <v>2485</v>
      </c>
      <c r="X1" s="0" t="s">
        <v>2486</v>
      </c>
      <c r="Y1" s="0" t="s">
        <v>2487</v>
      </c>
      <c r="Z1" s="0" t="s">
        <v>2488</v>
      </c>
      <c r="AA1" s="0" t="s">
        <v>2489</v>
      </c>
      <c r="AB1" s="0" t="s">
        <v>2490</v>
      </c>
      <c r="AC1" s="0" t="s">
        <v>2491</v>
      </c>
      <c r="AD1" s="0" t="s">
        <v>2492</v>
      </c>
      <c r="AE1" s="0" t="s">
        <v>2493</v>
      </c>
      <c r="AF1" s="0" t="s">
        <v>2494</v>
      </c>
      <c r="AG1" s="0" t="s">
        <v>2495</v>
      </c>
      <c r="AH1" s="0" t="s">
        <v>2496</v>
      </c>
      <c r="AI1" s="0" t="s">
        <v>2497</v>
      </c>
      <c r="AJ1" s="0" t="s">
        <v>2498</v>
      </c>
      <c r="AK1" s="0" t="s">
        <v>2499</v>
      </c>
    </row>
    <row customHeight="1" ht="11.25">
      <c r="A2" s="0" t="s">
        <v>22</v>
      </c>
      <c r="B2" s="0" t="s">
        <v>48</v>
      </c>
      <c r="C2" s="0" t="s">
        <v>50</v>
      </c>
      <c r="D2" s="0" t="s">
        <v>22</v>
      </c>
      <c r="E2" s="0" t="s">
        <v>1080</v>
      </c>
      <c r="F2" s="0" t="s">
        <v>1081</v>
      </c>
      <c r="G2" s="0" t="s">
        <v>99</v>
      </c>
      <c r="H2" s="0" t="s">
        <v>100</v>
      </c>
      <c r="I2" s="0" t="s">
        <v>101</v>
      </c>
      <c r="J2" s="0" t="s">
        <v>1082</v>
      </c>
      <c r="K2" s="0" t="s">
        <v>1083</v>
      </c>
      <c r="L2" s="0" t="s">
        <v>1082</v>
      </c>
      <c r="M2" s="0" t="s">
        <v>1084</v>
      </c>
      <c r="N2" s="0" t="s">
        <v>109</v>
      </c>
      <c r="O2" s="0" t="s">
        <v>99</v>
      </c>
      <c r="P2" s="0" t="s">
        <v>100</v>
      </c>
      <c r="Q2" s="0" t="s">
        <v>101</v>
      </c>
      <c r="R2" s="0" t="s">
        <v>1082</v>
      </c>
      <c r="S2" s="0" t="s">
        <v>1083</v>
      </c>
      <c r="T2" s="0" t="s">
        <v>2500</v>
      </c>
      <c r="U2" s="0" t="s">
        <v>2501</v>
      </c>
      <c r="V2" s="0" t="s">
        <v>2502</v>
      </c>
      <c r="W2" s="0" t="s">
        <v>2503</v>
      </c>
      <c r="X2" s="0" t="s">
        <v>2504</v>
      </c>
      <c r="Y2" s="0" t="s">
        <v>2501</v>
      </c>
      <c r="Z2" s="0" t="s">
        <v>2505</v>
      </c>
      <c r="AA2" s="0" t="s">
        <v>2506</v>
      </c>
      <c r="AB2" s="0" t="s">
        <v>2502</v>
      </c>
      <c r="AC2" s="0" t="s">
        <v>61</v>
      </c>
      <c r="AD2" s="0" t="s">
        <v>19</v>
      </c>
      <c r="AE2" s="0" t="s">
        <v>19</v>
      </c>
      <c r="AF2" s="0" t="s">
        <v>2507</v>
      </c>
      <c r="AG2" s="0" t="s">
        <v>1792</v>
      </c>
      <c r="AH2" s="0" t="s">
        <v>22</v>
      </c>
      <c r="AI2" s="0" t="s">
        <v>22</v>
      </c>
      <c r="AJ2" s="0" t="s">
        <v>22</v>
      </c>
      <c r="AK2" s="0" t="s">
        <v>22</v>
      </c>
    </row>
    <row customHeight="1" ht="11.25">
      <c r="A3" s="0" t="s">
        <v>22</v>
      </c>
      <c r="B3" s="0" t="s">
        <v>48</v>
      </c>
      <c r="C3" s="0" t="s">
        <v>50</v>
      </c>
      <c r="D3" s="0" t="s">
        <v>22</v>
      </c>
      <c r="E3" s="0" t="s">
        <v>1080</v>
      </c>
      <c r="F3" s="0" t="s">
        <v>1081</v>
      </c>
      <c r="G3" s="0" t="s">
        <v>99</v>
      </c>
      <c r="H3" s="0" t="s">
        <v>100</v>
      </c>
      <c r="I3" s="0" t="s">
        <v>101</v>
      </c>
      <c r="J3" s="0" t="s">
        <v>1082</v>
      </c>
      <c r="K3" s="0" t="s">
        <v>1083</v>
      </c>
      <c r="L3" s="0" t="s">
        <v>1082</v>
      </c>
      <c r="M3" s="0" t="s">
        <v>1084</v>
      </c>
      <c r="N3" s="0" t="s">
        <v>109</v>
      </c>
      <c r="O3" s="0" t="s">
        <v>99</v>
      </c>
      <c r="P3" s="0" t="s">
        <v>100</v>
      </c>
      <c r="Q3" s="0" t="s">
        <v>101</v>
      </c>
      <c r="R3" s="0" t="s">
        <v>1082</v>
      </c>
      <c r="S3" s="0" t="s">
        <v>1083</v>
      </c>
      <c r="T3" s="0" t="s">
        <v>2500</v>
      </c>
      <c r="U3" s="0" t="s">
        <v>2501</v>
      </c>
      <c r="V3" s="0" t="s">
        <v>2502</v>
      </c>
      <c r="W3" s="0" t="s">
        <v>2503</v>
      </c>
      <c r="X3" s="0" t="s">
        <v>2504</v>
      </c>
      <c r="Y3" s="0" t="s">
        <v>2501</v>
      </c>
      <c r="Z3" s="0" t="s">
        <v>2505</v>
      </c>
      <c r="AA3" s="0" t="s">
        <v>2506</v>
      </c>
      <c r="AB3" s="0" t="s">
        <v>2502</v>
      </c>
      <c r="AC3" s="0" t="s">
        <v>61</v>
      </c>
      <c r="AD3" s="0" t="s">
        <v>19</v>
      </c>
      <c r="AE3" s="0" t="s">
        <v>19</v>
      </c>
      <c r="AF3" s="0" t="s">
        <v>2507</v>
      </c>
      <c r="AG3" s="0" t="s">
        <v>1792</v>
      </c>
      <c r="AH3" s="0" t="s">
        <v>22</v>
      </c>
      <c r="AI3" s="0" t="s">
        <v>22</v>
      </c>
      <c r="AJ3" s="0" t="s">
        <v>22</v>
      </c>
      <c r="AK3" s="0" t="s">
        <v>22</v>
      </c>
    </row>
    <row customHeight="1" ht="11.25">
      <c r="A4" s="0" t="s">
        <v>22</v>
      </c>
      <c r="B4" s="0" t="s">
        <v>48</v>
      </c>
      <c r="C4" s="0" t="s">
        <v>50</v>
      </c>
      <c r="D4" s="0" t="s">
        <v>22</v>
      </c>
      <c r="E4" s="0" t="s">
        <v>1093</v>
      </c>
      <c r="F4" s="0" t="s">
        <v>1081</v>
      </c>
      <c r="G4" s="0" t="s">
        <v>99</v>
      </c>
      <c r="H4" s="0" t="s">
        <v>100</v>
      </c>
      <c r="I4" s="0" t="s">
        <v>101</v>
      </c>
      <c r="J4" s="0" t="s">
        <v>1082</v>
      </c>
      <c r="K4" s="0" t="s">
        <v>1083</v>
      </c>
      <c r="L4" s="0" t="s">
        <v>1082</v>
      </c>
      <c r="M4" s="0" t="s">
        <v>1084</v>
      </c>
      <c r="N4" s="0" t="s">
        <v>109</v>
      </c>
      <c r="O4" s="0" t="s">
        <v>99</v>
      </c>
      <c r="P4" s="0" t="s">
        <v>100</v>
      </c>
      <c r="Q4" s="0" t="s">
        <v>101</v>
      </c>
      <c r="R4" s="0" t="s">
        <v>1082</v>
      </c>
      <c r="S4" s="0" t="s">
        <v>1083</v>
      </c>
      <c r="T4" s="0" t="s">
        <v>2500</v>
      </c>
      <c r="U4" s="0" t="s">
        <v>2501</v>
      </c>
      <c r="V4" s="0" t="s">
        <v>2502</v>
      </c>
      <c r="W4" s="0" t="s">
        <v>2503</v>
      </c>
      <c r="X4" s="0" t="s">
        <v>2504</v>
      </c>
      <c r="Y4" s="0" t="s">
        <v>2501</v>
      </c>
      <c r="Z4" s="0" t="s">
        <v>2505</v>
      </c>
      <c r="AA4" s="0" t="s">
        <v>2506</v>
      </c>
      <c r="AB4" s="0" t="s">
        <v>2502</v>
      </c>
      <c r="AC4" s="0" t="s">
        <v>61</v>
      </c>
      <c r="AD4" s="0" t="s">
        <v>19</v>
      </c>
      <c r="AE4" s="0" t="s">
        <v>19</v>
      </c>
      <c r="AF4" s="0" t="s">
        <v>1785</v>
      </c>
      <c r="AG4" s="0" t="s">
        <v>152</v>
      </c>
      <c r="AH4" s="0" t="s">
        <v>22</v>
      </c>
      <c r="AI4" s="0" t="s">
        <v>22</v>
      </c>
      <c r="AJ4" s="0" t="s">
        <v>22</v>
      </c>
      <c r="AK4" s="0" t="s">
        <v>22</v>
      </c>
    </row>
    <row customHeight="1" ht="11.25">
      <c r="A5" s="0" t="s">
        <v>22</v>
      </c>
      <c r="B5" s="0" t="s">
        <v>48</v>
      </c>
      <c r="C5" s="0" t="s">
        <v>50</v>
      </c>
      <c r="D5" s="0" t="s">
        <v>22</v>
      </c>
      <c r="E5" s="0" t="s">
        <v>1093</v>
      </c>
      <c r="F5" s="0" t="s">
        <v>1081</v>
      </c>
      <c r="G5" s="0" t="s">
        <v>99</v>
      </c>
      <c r="H5" s="0" t="s">
        <v>100</v>
      </c>
      <c r="I5" s="0" t="s">
        <v>101</v>
      </c>
      <c r="J5" s="0" t="s">
        <v>1082</v>
      </c>
      <c r="K5" s="0" t="s">
        <v>1083</v>
      </c>
      <c r="L5" s="0" t="s">
        <v>1082</v>
      </c>
      <c r="M5" s="0" t="s">
        <v>1084</v>
      </c>
      <c r="N5" s="0" t="s">
        <v>109</v>
      </c>
      <c r="O5" s="0" t="s">
        <v>99</v>
      </c>
      <c r="P5" s="0" t="s">
        <v>100</v>
      </c>
      <c r="Q5" s="0" t="s">
        <v>101</v>
      </c>
      <c r="R5" s="0" t="s">
        <v>1082</v>
      </c>
      <c r="S5" s="0" t="s">
        <v>1083</v>
      </c>
      <c r="T5" s="0" t="s">
        <v>2500</v>
      </c>
      <c r="U5" s="0" t="s">
        <v>2501</v>
      </c>
      <c r="V5" s="0" t="s">
        <v>2502</v>
      </c>
      <c r="W5" s="0" t="s">
        <v>2503</v>
      </c>
      <c r="X5" s="0" t="s">
        <v>2504</v>
      </c>
      <c r="Y5" s="0" t="s">
        <v>2501</v>
      </c>
      <c r="Z5" s="0" t="s">
        <v>2505</v>
      </c>
      <c r="AA5" s="0" t="s">
        <v>2506</v>
      </c>
      <c r="AB5" s="0" t="s">
        <v>2502</v>
      </c>
      <c r="AC5" s="0" t="s">
        <v>61</v>
      </c>
      <c r="AD5" s="0" t="s">
        <v>19</v>
      </c>
      <c r="AE5" s="0" t="s">
        <v>19</v>
      </c>
      <c r="AF5" s="0" t="s">
        <v>1785</v>
      </c>
      <c r="AG5" s="0" t="s">
        <v>152</v>
      </c>
      <c r="AH5" s="0" t="s">
        <v>22</v>
      </c>
      <c r="AI5" s="0" t="s">
        <v>22</v>
      </c>
      <c r="AJ5" s="0" t="s">
        <v>22</v>
      </c>
      <c r="AK5" s="0" t="s">
        <v>22</v>
      </c>
    </row>
    <row customHeight="1" ht="11.25">
      <c r="A6" s="0" t="s">
        <v>22</v>
      </c>
      <c r="B6" s="0" t="s">
        <v>48</v>
      </c>
      <c r="C6" s="0" t="s">
        <v>50</v>
      </c>
      <c r="D6" s="0" t="s">
        <v>22</v>
      </c>
      <c r="E6" s="0" t="s">
        <v>1097</v>
      </c>
      <c r="F6" s="0" t="s">
        <v>1098</v>
      </c>
      <c r="G6" s="0" t="s">
        <v>99</v>
      </c>
      <c r="H6" s="0" t="s">
        <v>100</v>
      </c>
      <c r="I6" s="0" t="s">
        <v>101</v>
      </c>
      <c r="J6" s="0" t="s">
        <v>1082</v>
      </c>
      <c r="K6" s="0" t="s">
        <v>1083</v>
      </c>
      <c r="L6" s="0" t="s">
        <v>1082</v>
      </c>
      <c r="M6" s="0" t="s">
        <v>1082</v>
      </c>
      <c r="N6" s="0" t="s">
        <v>109</v>
      </c>
      <c r="O6" s="0" t="s">
        <v>99</v>
      </c>
      <c r="P6" s="0" t="s">
        <v>100</v>
      </c>
      <c r="Q6" s="0" t="s">
        <v>101</v>
      </c>
      <c r="R6" s="0" t="s">
        <v>1082</v>
      </c>
      <c r="S6" s="0" t="s">
        <v>1083</v>
      </c>
      <c r="T6" s="0" t="s">
        <v>2500</v>
      </c>
      <c r="U6" s="0" t="s">
        <v>2501</v>
      </c>
      <c r="V6" s="0" t="s">
        <v>2502</v>
      </c>
      <c r="W6" s="0" t="s">
        <v>2503</v>
      </c>
      <c r="X6" s="0" t="s">
        <v>2504</v>
      </c>
      <c r="Y6" s="0" t="s">
        <v>2501</v>
      </c>
      <c r="Z6" s="0" t="s">
        <v>2505</v>
      </c>
      <c r="AA6" s="0" t="s">
        <v>2506</v>
      </c>
      <c r="AB6" s="0" t="s">
        <v>2502</v>
      </c>
      <c r="AC6" s="0" t="s">
        <v>19</v>
      </c>
      <c r="AD6" s="0" t="s">
        <v>19</v>
      </c>
      <c r="AE6" s="0" t="s">
        <v>61</v>
      </c>
      <c r="AF6" s="0" t="s">
        <v>22</v>
      </c>
      <c r="AG6" s="0" t="s">
        <v>22</v>
      </c>
      <c r="AH6" s="0" t="s">
        <v>22</v>
      </c>
      <c r="AI6" s="0" t="s">
        <v>22</v>
      </c>
      <c r="AJ6" s="0" t="s">
        <v>2507</v>
      </c>
      <c r="AK6" s="0" t="s">
        <v>1792</v>
      </c>
    </row>
    <row customHeight="1" ht="11.25">
      <c r="A7" s="0" t="s">
        <v>22</v>
      </c>
      <c r="B7" s="0" t="s">
        <v>48</v>
      </c>
      <c r="C7" s="0" t="s">
        <v>50</v>
      </c>
      <c r="D7" s="0" t="s">
        <v>22</v>
      </c>
      <c r="E7" s="0" t="s">
        <v>1097</v>
      </c>
      <c r="F7" s="0" t="s">
        <v>1098</v>
      </c>
      <c r="G7" s="0" t="s">
        <v>99</v>
      </c>
      <c r="H7" s="0" t="s">
        <v>100</v>
      </c>
      <c r="I7" s="0" t="s">
        <v>101</v>
      </c>
      <c r="J7" s="0" t="s">
        <v>1082</v>
      </c>
      <c r="K7" s="0" t="s">
        <v>1083</v>
      </c>
      <c r="L7" s="0" t="s">
        <v>1082</v>
      </c>
      <c r="M7" s="0" t="s">
        <v>1082</v>
      </c>
      <c r="N7" s="0" t="s">
        <v>109</v>
      </c>
      <c r="O7" s="0" t="s">
        <v>99</v>
      </c>
      <c r="P7" s="0" t="s">
        <v>100</v>
      </c>
      <c r="Q7" s="0" t="s">
        <v>101</v>
      </c>
      <c r="R7" s="0" t="s">
        <v>1082</v>
      </c>
      <c r="S7" s="0" t="s">
        <v>1083</v>
      </c>
      <c r="T7" s="0" t="s">
        <v>2500</v>
      </c>
      <c r="U7" s="0" t="s">
        <v>2501</v>
      </c>
      <c r="V7" s="0" t="s">
        <v>2502</v>
      </c>
      <c r="W7" s="0" t="s">
        <v>2503</v>
      </c>
      <c r="X7" s="0" t="s">
        <v>2504</v>
      </c>
      <c r="Y7" s="0" t="s">
        <v>2501</v>
      </c>
      <c r="Z7" s="0" t="s">
        <v>2505</v>
      </c>
      <c r="AA7" s="0" t="s">
        <v>2506</v>
      </c>
      <c r="AB7" s="0" t="s">
        <v>2502</v>
      </c>
      <c r="AC7" s="0" t="s">
        <v>19</v>
      </c>
      <c r="AD7" s="0" t="s">
        <v>19</v>
      </c>
      <c r="AE7" s="0" t="s">
        <v>61</v>
      </c>
      <c r="AF7" s="0" t="s">
        <v>22</v>
      </c>
      <c r="AG7" s="0" t="s">
        <v>22</v>
      </c>
      <c r="AH7" s="0" t="s">
        <v>22</v>
      </c>
      <c r="AI7" s="0" t="s">
        <v>22</v>
      </c>
      <c r="AJ7" s="0" t="s">
        <v>2507</v>
      </c>
      <c r="AK7" s="0" t="s">
        <v>1792</v>
      </c>
    </row>
    <row customHeight="1" ht="11.25">
      <c r="A8" s="0" t="s">
        <v>22</v>
      </c>
      <c r="B8" s="0" t="s">
        <v>48</v>
      </c>
      <c r="C8" s="0" t="s">
        <v>50</v>
      </c>
      <c r="D8" s="0" t="s">
        <v>22</v>
      </c>
      <c r="E8" s="0" t="s">
        <v>2508</v>
      </c>
      <c r="F8" s="0" t="s">
        <v>1098</v>
      </c>
      <c r="G8" s="0" t="s">
        <v>99</v>
      </c>
      <c r="H8" s="0" t="s">
        <v>100</v>
      </c>
      <c r="I8" s="0" t="s">
        <v>101</v>
      </c>
      <c r="J8" s="0" t="s">
        <v>1082</v>
      </c>
      <c r="K8" s="0" t="s">
        <v>1083</v>
      </c>
      <c r="L8" s="0" t="s">
        <v>2509</v>
      </c>
      <c r="M8" s="0" t="s">
        <v>2509</v>
      </c>
      <c r="N8" s="0" t="s">
        <v>109</v>
      </c>
      <c r="O8" s="0" t="s">
        <v>99</v>
      </c>
      <c r="P8" s="0" t="s">
        <v>100</v>
      </c>
      <c r="Q8" s="0" t="s">
        <v>101</v>
      </c>
      <c r="R8" s="0" t="s">
        <v>1082</v>
      </c>
      <c r="S8" s="0" t="s">
        <v>1083</v>
      </c>
      <c r="T8" s="0" t="s">
        <v>2500</v>
      </c>
      <c r="U8" s="0" t="s">
        <v>2501</v>
      </c>
      <c r="V8" s="0" t="s">
        <v>2502</v>
      </c>
      <c r="W8" s="0" t="s">
        <v>2503</v>
      </c>
      <c r="X8" s="0" t="s">
        <v>2504</v>
      </c>
      <c r="Y8" s="0" t="s">
        <v>2501</v>
      </c>
      <c r="Z8" s="0" t="s">
        <v>2505</v>
      </c>
      <c r="AA8" s="0" t="s">
        <v>2506</v>
      </c>
      <c r="AB8" s="0" t="s">
        <v>2502</v>
      </c>
      <c r="AC8" s="0" t="s">
        <v>19</v>
      </c>
      <c r="AD8" s="0" t="s">
        <v>19</v>
      </c>
      <c r="AE8" s="0" t="s">
        <v>61</v>
      </c>
      <c r="AF8" s="0" t="s">
        <v>22</v>
      </c>
      <c r="AG8" s="0" t="s">
        <v>22</v>
      </c>
      <c r="AH8" s="0" t="s">
        <v>22</v>
      </c>
      <c r="AI8" s="0" t="s">
        <v>22</v>
      </c>
      <c r="AJ8" s="0" t="s">
        <v>2510</v>
      </c>
      <c r="AK8" s="0" t="s">
        <v>152</v>
      </c>
    </row>
    <row customHeight="1" ht="11.25">
      <c r="A9" s="0" t="s">
        <v>22</v>
      </c>
      <c r="B9" s="0" t="s">
        <v>48</v>
      </c>
      <c r="C9" s="0" t="s">
        <v>50</v>
      </c>
      <c r="D9" s="0" t="s">
        <v>22</v>
      </c>
      <c r="E9" s="0" t="s">
        <v>2508</v>
      </c>
      <c r="F9" s="0" t="s">
        <v>1098</v>
      </c>
      <c r="G9" s="0" t="s">
        <v>99</v>
      </c>
      <c r="H9" s="0" t="s">
        <v>100</v>
      </c>
      <c r="I9" s="0" t="s">
        <v>101</v>
      </c>
      <c r="J9" s="0" t="s">
        <v>1082</v>
      </c>
      <c r="K9" s="0" t="s">
        <v>1083</v>
      </c>
      <c r="L9" s="0" t="s">
        <v>2509</v>
      </c>
      <c r="M9" s="0" t="s">
        <v>2509</v>
      </c>
      <c r="N9" s="0" t="s">
        <v>109</v>
      </c>
      <c r="O9" s="0" t="s">
        <v>99</v>
      </c>
      <c r="P9" s="0" t="s">
        <v>100</v>
      </c>
      <c r="Q9" s="0" t="s">
        <v>101</v>
      </c>
      <c r="R9" s="0" t="s">
        <v>1082</v>
      </c>
      <c r="S9" s="0" t="s">
        <v>1083</v>
      </c>
      <c r="T9" s="0" t="s">
        <v>2500</v>
      </c>
      <c r="U9" s="0" t="s">
        <v>2501</v>
      </c>
      <c r="V9" s="0" t="s">
        <v>2502</v>
      </c>
      <c r="W9" s="0" t="s">
        <v>2503</v>
      </c>
      <c r="X9" s="0" t="s">
        <v>2504</v>
      </c>
      <c r="Y9" s="0" t="s">
        <v>2501</v>
      </c>
      <c r="Z9" s="0" t="s">
        <v>2511</v>
      </c>
      <c r="AA9" s="0" t="s">
        <v>2506</v>
      </c>
      <c r="AB9" s="0" t="s">
        <v>2502</v>
      </c>
      <c r="AC9" s="0" t="s">
        <v>19</v>
      </c>
      <c r="AD9" s="0" t="s">
        <v>19</v>
      </c>
      <c r="AE9" s="0" t="s">
        <v>61</v>
      </c>
      <c r="AF9" s="0" t="s">
        <v>22</v>
      </c>
      <c r="AG9" s="0" t="s">
        <v>22</v>
      </c>
      <c r="AH9" s="0" t="s">
        <v>22</v>
      </c>
      <c r="AI9" s="0" t="s">
        <v>22</v>
      </c>
      <c r="AJ9" s="0" t="s">
        <v>2510</v>
      </c>
      <c r="AK9" s="0" t="s">
        <v>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F60F-C65C-1DAD-4003-0.0591680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6"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hidden="1" customWidth="1"/>
    <col min="12" max="12" style="1642" width="9.7109375" hidden="1" customWidth="1"/>
    <col min="13" max="18" style="1642" width="19.8515625" hidden="1" customWidth="1"/>
    <col min="19" max="19" style="1642" width="1.7109375" hidden="1" customWidth="1"/>
    <col min="20" max="22" style="1642" width="19.8515625" hidden="1" customWidth="1"/>
    <col min="23" max="23" style="1642" width="1.7109375" hidden="1" customWidth="1"/>
    <col min="24" max="26" style="1642" width="19.8515625" customWidth="1"/>
    <col min="27" max="27" style="1642" width="1.7109375" hidden="1" customWidth="1"/>
    <col min="28" max="29" style="1642" width="19.8515625" hidden="1" customWidth="1"/>
    <col min="30" max="30" style="1642" width="1.7109375" hidden="1" customWidth="1"/>
    <col min="31" max="32" style="1642" width="103.7109375" hidden="1" customWidth="1"/>
    <col min="33" max="33" style="1642" width="103.7109375" customWidth="1"/>
    <col min="34" max="34" style="1642" width="103.7109375" hidden="1" customWidth="1"/>
    <col min="35" max="35" style="1825"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37" t="s">
        <v>351</v>
      </c>
      <c r="I1" s="2237"/>
      <c r="J1" s="2237"/>
      <c r="K1" s="2237"/>
      <c r="L1" s="2237"/>
      <c r="M1" s="2237"/>
      <c r="N1" s="2237"/>
      <c r="O1" s="2237"/>
      <c r="P1" s="2237"/>
      <c r="Q1" s="2237"/>
      <c r="R1" s="2237"/>
      <c r="T1" s="2237" t="s">
        <v>352</v>
      </c>
      <c r="U1" s="2237"/>
      <c r="V1" s="2237"/>
      <c r="X1" s="2237" t="s">
        <v>353</v>
      </c>
      <c r="Y1" s="2237"/>
      <c r="Z1" s="2237"/>
      <c r="AB1" s="2237" t="s">
        <v>354</v>
      </c>
      <c r="AC1" s="2237"/>
      <c r="AT1" s="454" t="s">
        <v>14</v>
      </c>
    </row>
    <row customHeight="1" ht="14.25" hidden="1">
      <c r="AT2" s="454">
        <v>0</v>
      </c>
    </row>
    <row s="1620" customFormat="1" customHeight="1" ht="5.25">
      <c r="C3" s="708"/>
      <c r="D3" s="709"/>
      <c r="E3" s="709"/>
      <c r="F3" s="709"/>
      <c r="G3" s="709"/>
      <c r="H3" s="709" t="s">
        <v>355</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77" t="str">
        <f>ORG_VD_NAME_FORM</f>
        <v>Форма 1. Информация об организации, осуществляющей холодное водоснабжение (общая информация)</v>
      </c>
      <c r="E4" s="2178"/>
      <c r="F4" s="2178"/>
      <c r="G4" s="2178"/>
      <c r="H4" s="2178"/>
      <c r="I4" s="2178"/>
      <c r="J4" s="2178"/>
      <c r="K4" s="2178"/>
      <c r="L4" s="2178"/>
      <c r="M4" s="2178"/>
      <c r="N4" s="2178"/>
      <c r="O4" s="2178"/>
      <c r="P4" s="2178"/>
      <c r="Q4" s="2178"/>
      <c r="R4" s="2179"/>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34" t="str">
        <f>IF(org=0,"Не определено",org)</f>
        <v>ИМУП «ПОСЖИЛКОМСЕРВИС»</v>
      </c>
      <c r="E5" s="2235"/>
      <c r="F5" s="2235"/>
      <c r="G5" s="2235"/>
      <c r="H5" s="2235"/>
      <c r="I5" s="2235"/>
      <c r="J5" s="2235"/>
      <c r="K5" s="2235"/>
      <c r="L5" s="2235"/>
      <c r="M5" s="2235"/>
      <c r="N5" s="2235"/>
      <c r="O5" s="2235"/>
      <c r="P5" s="2235"/>
      <c r="Q5" s="2235"/>
      <c r="R5" s="2236"/>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38" t="s">
        <v>299</v>
      </c>
      <c r="E7" s="2239"/>
      <c r="F7" s="2239"/>
      <c r="G7" s="2239"/>
      <c r="H7" s="2239"/>
      <c r="I7" s="2239"/>
      <c r="J7" s="2239"/>
      <c r="K7" s="2239"/>
      <c r="L7" s="2239"/>
      <c r="M7" s="2239"/>
      <c r="N7" s="2239"/>
      <c r="O7" s="2239"/>
      <c r="P7" s="2239"/>
      <c r="Q7" s="2239"/>
      <c r="R7" s="2239"/>
      <c r="S7" s="2239"/>
      <c r="T7" s="2239"/>
      <c r="U7" s="2239"/>
      <c r="V7" s="2239"/>
      <c r="W7" s="2239"/>
      <c r="X7" s="2239"/>
      <c r="Y7" s="2239"/>
      <c r="Z7" s="2239"/>
      <c r="AA7" s="2239"/>
      <c r="AB7" s="2239"/>
      <c r="AC7" s="2239"/>
      <c r="AD7" s="2240"/>
      <c r="AE7" s="2243" t="s">
        <v>300</v>
      </c>
      <c r="AF7" s="2243" t="s">
        <v>300</v>
      </c>
      <c r="AG7" s="2243" t="s">
        <v>300</v>
      </c>
      <c r="AH7" s="2243" t="s">
        <v>300</v>
      </c>
      <c r="AT7" s="454">
        <v>14</v>
      </c>
    </row>
    <row customHeight="1" ht="27.299999999999997">
      <c r="C8" s="457"/>
      <c r="D8" s="2147" t="s">
        <v>87</v>
      </c>
      <c r="E8" s="2243" t="str">
        <f>"Наименование "&amp;IF(TEMPLATE_SPHERE&lt;&gt;"HEAT","централизованной ","")&amp;"системы "&amp;TEMPLATE_SPHERE_RUS</f>
        <v>Наименование централизованной системы холодного водоснабжения</v>
      </c>
      <c r="F8" s="2243" t="str">
        <f>IF(TEMPLATE_SPHERE&lt;&gt;"HEAT","Регулируемый вид деятельности","Вид регулируемой деятельности")</f>
        <v>Регулируемый вид деятельности</v>
      </c>
      <c r="G8" s="835"/>
      <c r="H8" s="2244" t="s">
        <v>356</v>
      </c>
      <c r="I8" s="2246" t="s">
        <v>357</v>
      </c>
      <c r="J8" s="2243" t="s">
        <v>358</v>
      </c>
      <c r="K8" s="2243"/>
      <c r="L8" s="2243"/>
      <c r="M8" s="2238"/>
      <c r="N8" s="2243" t="s">
        <v>359</v>
      </c>
      <c r="O8" s="2243"/>
      <c r="P8" s="2243" t="s">
        <v>360</v>
      </c>
      <c r="Q8" s="2243"/>
      <c r="R8" s="2250" t="s">
        <v>361</v>
      </c>
      <c r="S8" s="831"/>
      <c r="T8" s="2248" t="s">
        <v>362</v>
      </c>
      <c r="U8" s="2248" t="s">
        <v>363</v>
      </c>
      <c r="V8" s="2248" t="s">
        <v>364</v>
      </c>
      <c r="W8" s="833"/>
      <c r="X8" s="2248" t="s">
        <v>365</v>
      </c>
      <c r="Y8" s="2248" t="s">
        <v>366</v>
      </c>
      <c r="Z8" s="2248" t="s">
        <v>367</v>
      </c>
      <c r="AA8" s="833"/>
      <c r="AB8" s="2248" t="s">
        <v>368</v>
      </c>
      <c r="AC8" s="2248" t="s">
        <v>361</v>
      </c>
      <c r="AD8" s="833"/>
      <c r="AE8" s="2243"/>
      <c r="AF8" s="2243"/>
      <c r="AG8" s="2243"/>
      <c r="AH8" s="2243"/>
      <c r="AT8" s="454">
        <v>26</v>
      </c>
    </row>
    <row customHeight="1" ht="46.199999999999996">
      <c r="C9" s="457"/>
      <c r="D9" s="2147"/>
      <c r="E9" s="2243"/>
      <c r="F9" s="2243"/>
      <c r="G9" s="836"/>
      <c r="H9" s="2245"/>
      <c r="I9" s="2247"/>
      <c r="J9" s="432" t="s">
        <v>369</v>
      </c>
      <c r="K9" s="432" t="s">
        <v>370</v>
      </c>
      <c r="L9" s="432" t="s">
        <v>371</v>
      </c>
      <c r="M9" s="438" t="s">
        <v>372</v>
      </c>
      <c r="N9" s="432" t="s">
        <v>373</v>
      </c>
      <c r="O9" s="432" t="s">
        <v>372</v>
      </c>
      <c r="P9" s="432" t="s">
        <v>374</v>
      </c>
      <c r="Q9" s="432" t="s">
        <v>372</v>
      </c>
      <c r="R9" s="2251"/>
      <c r="S9" s="832"/>
      <c r="T9" s="2249"/>
      <c r="U9" s="2249"/>
      <c r="V9" s="2249"/>
      <c r="W9" s="834"/>
      <c r="X9" s="2249"/>
      <c r="Y9" s="2249"/>
      <c r="Z9" s="2249"/>
      <c r="AA9" s="834"/>
      <c r="AB9" s="2249"/>
      <c r="AC9" s="2249"/>
      <c r="AD9" s="834"/>
      <c r="AE9" s="2243"/>
      <c r="AF9" s="2243"/>
      <c r="AG9" s="2243"/>
      <c r="AH9" s="2243"/>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375</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109</v>
      </c>
      <c r="E12" s="1783" t="s">
        <v>22</v>
      </c>
      <c r="F12" s="862"/>
      <c r="G12" s="863"/>
      <c r="H12" s="1784"/>
      <c r="I12" s="1784"/>
      <c r="J12" s="440"/>
      <c r="K12" s="1867"/>
      <c r="L12" s="439"/>
      <c r="M12" s="1867"/>
      <c r="N12" s="440"/>
      <c r="O12" s="1867"/>
      <c r="P12" s="440"/>
      <c r="Q12" s="1867"/>
      <c r="R12" s="440"/>
      <c r="S12" s="861"/>
      <c r="T12" s="1784"/>
      <c r="U12" s="440"/>
      <c r="V12" s="440"/>
      <c r="W12" s="834"/>
      <c r="X12" s="1784"/>
      <c r="Y12" s="440"/>
      <c r="Z12" s="440"/>
      <c r="AA12" s="834"/>
      <c r="AB12" s="1784"/>
      <c r="AC12" s="440"/>
      <c r="AD12" s="834"/>
      <c r="AE12" s="2241" t="s">
        <v>376</v>
      </c>
      <c r="AF12" s="2241" t="s">
        <v>377</v>
      </c>
      <c r="AG12" s="2241" t="s">
        <v>378</v>
      </c>
      <c r="AH12" s="2241" t="s">
        <v>379</v>
      </c>
      <c r="AI12" s="454"/>
      <c r="AM12" s="518"/>
      <c r="AP12" s="507" t="s">
        <v>380</v>
      </c>
      <c r="AQ12" s="507" t="s">
        <v>380</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42"/>
      <c r="AF13" s="2242"/>
      <c r="AG13" s="2242"/>
      <c r="AH13" s="2242"/>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81</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072E8-4DCD-3FC5-17FD-0.C3EE436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131</v>
      </c>
      <c r="B1" s="190" t="s">
        <v>2512</v>
      </c>
    </row>
    <row customHeight="1" ht="11.25">
      <c r="A2" s="190" t="s">
        <v>97</v>
      </c>
      <c r="B2" s="190" t="s">
        <v>2513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195CA-112C-7508-4399-0.58FDEB5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2" t="s">
        <v>2514</v>
      </c>
      <c r="B1" s="842" t="s">
        <v>2515</v>
      </c>
    </row>
    <row customHeight="1" ht="11.25">
      <c r="A2" s="842">
        <v>4213775</v>
      </c>
      <c r="B2" s="842" t="s">
        <v>1317</v>
      </c>
    </row>
    <row customHeight="1" ht="11.25">
      <c r="A3" s="842">
        <v>4213784</v>
      </c>
      <c r="B3" s="842" t="s">
        <v>1351</v>
      </c>
    </row>
    <row customHeight="1" ht="11.25">
      <c r="A4" s="842">
        <v>4213781</v>
      </c>
      <c r="B4" s="842" t="s">
        <v>1344</v>
      </c>
    </row>
    <row customHeight="1" ht="11.25">
      <c r="A5" s="842">
        <v>4213776</v>
      </c>
      <c r="B5" s="842" t="s">
        <v>167</v>
      </c>
    </row>
    <row customHeight="1" ht="11.25">
      <c r="A6" s="842">
        <v>4213777</v>
      </c>
      <c r="B6" s="842" t="s">
        <v>173</v>
      </c>
    </row>
    <row customHeight="1" ht="11.25">
      <c r="A7" s="842">
        <v>4213778</v>
      </c>
      <c r="B7" s="842" t="s">
        <v>179</v>
      </c>
    </row>
    <row customHeight="1" ht="11.25">
      <c r="A8" s="842">
        <v>4213780</v>
      </c>
      <c r="B8" s="842" t="s">
        <v>185</v>
      </c>
    </row>
    <row customHeight="1" ht="11.25">
      <c r="A9" s="842">
        <v>4213779</v>
      </c>
      <c r="B9" s="842" t="s">
        <v>1483</v>
      </c>
    </row>
    <row customHeight="1" ht="11.25">
      <c r="A10" s="842">
        <v>4213783</v>
      </c>
      <c r="B10" s="842" t="s">
        <v>1497</v>
      </c>
    </row>
    <row customHeight="1" ht="11.25">
      <c r="A11" s="842">
        <v>4213782</v>
      </c>
      <c r="B11" s="842"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54416-447D-51A8-15C5-0.0A8D635}"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2" t="s">
        <v>2514</v>
      </c>
      <c r="B1" s="842" t="s">
        <v>2516</v>
      </c>
    </row>
    <row customHeight="1" ht="11.25">
      <c r="A2" s="842" t="s">
        <v>118</v>
      </c>
      <c r="B2" s="842" t="s">
        <v>1591</v>
      </c>
    </row>
    <row customHeight="1" ht="11.25">
      <c r="A3" s="842" t="s">
        <v>2517</v>
      </c>
      <c r="B3" s="842" t="s">
        <v>1601</v>
      </c>
    </row>
    <row customHeight="1" ht="11.25">
      <c r="A4" s="842" t="s">
        <v>2518</v>
      </c>
      <c r="B4" s="842" t="s">
        <v>1610</v>
      </c>
    </row>
    <row customHeight="1" ht="11.25">
      <c r="A5" s="842" t="s">
        <v>2519</v>
      </c>
      <c r="B5" s="842" t="s">
        <v>1619</v>
      </c>
    </row>
    <row customHeight="1" ht="11.25">
      <c r="A6" s="842" t="s">
        <v>2520</v>
      </c>
      <c r="B6" s="842" t="s">
        <v>1625</v>
      </c>
    </row>
    <row customHeight="1" ht="11.25">
      <c r="A7" s="842" t="s">
        <v>2521</v>
      </c>
      <c r="B7" s="842" t="s">
        <v>1633</v>
      </c>
    </row>
    <row customHeight="1" ht="11.25">
      <c r="A8" s="842" t="s">
        <v>2522</v>
      </c>
      <c r="B8" s="842" t="s">
        <v>1640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FEDE2-301B-EEA6-A3D7-0.08185E43}"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80" t="s">
        <v>2406</v>
      </c>
      <c r="B1" s="380" t="s">
        <v>2407</v>
      </c>
      <c r="C1" s="380" t="s">
        <v>2408</v>
      </c>
      <c r="D1" s="380" t="s">
        <v>2409</v>
      </c>
      <c r="E1" s="0" t="s">
        <v>2410</v>
      </c>
      <c r="F1" s="0" t="s">
        <v>2411</v>
      </c>
      <c r="G1" s="0" t="s">
        <v>2412</v>
      </c>
    </row>
    <row customHeight="1" ht="11.25">
      <c r="A2" s="0" t="s">
        <v>16</v>
      </c>
      <c r="B2" s="0" t="s">
        <v>99</v>
      </c>
      <c r="C2" s="0" t="s">
        <v>2413</v>
      </c>
      <c r="D2" s="0" t="s">
        <v>99</v>
      </c>
      <c r="E2" s="0" t="s">
        <v>2413</v>
      </c>
      <c r="F2" s="0" t="s">
        <v>2414</v>
      </c>
      <c r="G2" s="0" t="s">
        <v>109</v>
      </c>
    </row>
    <row customHeight="1" ht="11.25">
      <c r="A3" s="0" t="s">
        <v>16</v>
      </c>
      <c r="B3" s="0" t="s">
        <v>99</v>
      </c>
      <c r="C3" s="0" t="s">
        <v>2413</v>
      </c>
      <c r="D3" s="0" t="s">
        <v>2415</v>
      </c>
      <c r="E3" s="0" t="s">
        <v>2416</v>
      </c>
      <c r="F3" s="0" t="s">
        <v>2417</v>
      </c>
      <c r="G3" s="0" t="s">
        <v>110</v>
      </c>
    </row>
    <row customHeight="1" ht="11.25">
      <c r="A4" s="0" t="s">
        <v>16</v>
      </c>
      <c r="B4" s="0" t="s">
        <v>99</v>
      </c>
      <c r="C4" s="0" t="s">
        <v>2413</v>
      </c>
      <c r="D4" s="0" t="s">
        <v>2418</v>
      </c>
      <c r="E4" s="0" t="s">
        <v>2419</v>
      </c>
      <c r="F4" s="0" t="s">
        <v>2417</v>
      </c>
      <c r="G4" s="0" t="s">
        <v>89</v>
      </c>
    </row>
    <row customHeight="1" ht="11.25">
      <c r="A5" s="0" t="s">
        <v>16</v>
      </c>
      <c r="B5" s="0" t="s">
        <v>99</v>
      </c>
      <c r="C5" s="0" t="s">
        <v>2413</v>
      </c>
      <c r="D5" s="0" t="s">
        <v>2420</v>
      </c>
      <c r="E5" s="0" t="s">
        <v>2421</v>
      </c>
      <c r="F5" s="0" t="s">
        <v>2417</v>
      </c>
      <c r="G5" s="0" t="s">
        <v>90</v>
      </c>
    </row>
    <row customHeight="1" ht="11.25">
      <c r="A6" s="0" t="s">
        <v>16</v>
      </c>
      <c r="B6" s="0" t="s">
        <v>99</v>
      </c>
      <c r="C6" s="0" t="s">
        <v>2413</v>
      </c>
      <c r="D6" s="0" t="s">
        <v>2422</v>
      </c>
      <c r="E6" s="0" t="s">
        <v>2423</v>
      </c>
      <c r="F6" s="0" t="s">
        <v>2417</v>
      </c>
      <c r="G6" s="0" t="s">
        <v>111</v>
      </c>
    </row>
    <row customHeight="1" ht="11.25">
      <c r="A7" s="0" t="s">
        <v>16</v>
      </c>
      <c r="B7" s="0" t="s">
        <v>99</v>
      </c>
      <c r="C7" s="0" t="s">
        <v>2413</v>
      </c>
      <c r="D7" s="0" t="s">
        <v>2424</v>
      </c>
      <c r="E7" s="0" t="s">
        <v>2425</v>
      </c>
      <c r="F7" s="0" t="s">
        <v>2417</v>
      </c>
      <c r="G7" s="0" t="s">
        <v>91</v>
      </c>
    </row>
    <row customHeight="1" ht="11.25">
      <c r="A8" s="0" t="s">
        <v>16</v>
      </c>
      <c r="B8" s="0" t="s">
        <v>99</v>
      </c>
      <c r="C8" s="0" t="s">
        <v>2413</v>
      </c>
      <c r="D8" s="0" t="s">
        <v>2426</v>
      </c>
      <c r="E8" s="0" t="s">
        <v>2427</v>
      </c>
      <c r="F8" s="0" t="s">
        <v>2417</v>
      </c>
      <c r="G8" s="0" t="s">
        <v>92</v>
      </c>
    </row>
    <row customHeight="1" ht="11.25">
      <c r="A9" s="0" t="s">
        <v>16</v>
      </c>
      <c r="B9" s="0" t="s">
        <v>99</v>
      </c>
      <c r="C9" s="0" t="s">
        <v>2413</v>
      </c>
      <c r="D9" s="0" t="s">
        <v>2428</v>
      </c>
      <c r="E9" s="0" t="s">
        <v>2429</v>
      </c>
      <c r="F9" s="0" t="s">
        <v>2417</v>
      </c>
      <c r="G9" s="0" t="s">
        <v>112</v>
      </c>
    </row>
    <row customHeight="1" ht="11.25">
      <c r="A10" s="0" t="s">
        <v>16</v>
      </c>
      <c r="B10" s="0" t="s">
        <v>99</v>
      </c>
      <c r="C10" s="0" t="s">
        <v>2413</v>
      </c>
      <c r="D10" s="0" t="s">
        <v>2430</v>
      </c>
      <c r="E10" s="0" t="s">
        <v>2431</v>
      </c>
      <c r="F10" s="0" t="s">
        <v>2432</v>
      </c>
      <c r="G10" s="0" t="s">
        <v>149</v>
      </c>
    </row>
    <row customHeight="1" ht="11.25">
      <c r="A11" s="0" t="s">
        <v>16</v>
      </c>
      <c r="B11" s="0" t="s">
        <v>99</v>
      </c>
      <c r="C11" s="0" t="s">
        <v>2413</v>
      </c>
      <c r="D11" s="0" t="s">
        <v>2433</v>
      </c>
      <c r="E11" s="0" t="s">
        <v>2434</v>
      </c>
      <c r="F11" s="0" t="s">
        <v>2417</v>
      </c>
      <c r="G11" s="0" t="s">
        <v>150</v>
      </c>
    </row>
    <row customHeight="1" ht="11.25">
      <c r="A12" s="0" t="s">
        <v>16</v>
      </c>
      <c r="B12" s="0" t="s">
        <v>99</v>
      </c>
      <c r="C12" s="0" t="s">
        <v>2413</v>
      </c>
      <c r="D12" s="0" t="s">
        <v>2435</v>
      </c>
      <c r="E12" s="0" t="s">
        <v>2436</v>
      </c>
      <c r="F12" s="0" t="s">
        <v>2417</v>
      </c>
      <c r="G12" s="0" t="s">
        <v>151</v>
      </c>
    </row>
    <row customHeight="1" ht="11.25">
      <c r="A13" s="0" t="s">
        <v>16</v>
      </c>
      <c r="B13" s="0" t="s">
        <v>99</v>
      </c>
      <c r="C13" s="0" t="s">
        <v>2413</v>
      </c>
      <c r="D13" s="0" t="s">
        <v>2437</v>
      </c>
      <c r="E13" s="0" t="s">
        <v>2438</v>
      </c>
      <c r="F13" s="0" t="s">
        <v>2417</v>
      </c>
      <c r="G13" s="0" t="s">
        <v>152</v>
      </c>
    </row>
    <row customHeight="1" ht="11.25">
      <c r="A14" s="0" t="s">
        <v>16</v>
      </c>
      <c r="B14" s="0" t="s">
        <v>99</v>
      </c>
      <c r="C14" s="0" t="s">
        <v>2413</v>
      </c>
      <c r="D14" s="0" t="s">
        <v>2439</v>
      </c>
      <c r="E14" s="0" t="s">
        <v>2440</v>
      </c>
      <c r="F14" s="0" t="s">
        <v>2417</v>
      </c>
      <c r="G14" s="0" t="s">
        <v>153</v>
      </c>
    </row>
    <row customHeight="1" ht="11.25">
      <c r="A15" s="0" t="s">
        <v>16</v>
      </c>
      <c r="B15" s="0" t="s">
        <v>99</v>
      </c>
      <c r="C15" s="0" t="s">
        <v>2413</v>
      </c>
      <c r="D15" s="0" t="s">
        <v>2441</v>
      </c>
      <c r="E15" s="0" t="s">
        <v>2442</v>
      </c>
      <c r="F15" s="0" t="s">
        <v>2417</v>
      </c>
      <c r="G15" s="0" t="s">
        <v>154</v>
      </c>
    </row>
    <row customHeight="1" ht="11.25">
      <c r="A16" s="0" t="s">
        <v>16</v>
      </c>
      <c r="B16" s="0" t="s">
        <v>99</v>
      </c>
      <c r="C16" s="0" t="s">
        <v>2413</v>
      </c>
      <c r="D16" s="0" t="s">
        <v>100</v>
      </c>
      <c r="E16" s="0" t="s">
        <v>101</v>
      </c>
      <c r="F16" s="0" t="s">
        <v>2443</v>
      </c>
      <c r="G16" s="0" t="s">
        <v>98</v>
      </c>
    </row>
    <row customHeight="1" ht="11.25">
      <c r="A17" s="0" t="s">
        <v>16</v>
      </c>
      <c r="B17" s="0" t="s">
        <v>99</v>
      </c>
      <c r="C17" s="0" t="s">
        <v>2413</v>
      </c>
      <c r="D17" s="0" t="s">
        <v>2444</v>
      </c>
      <c r="E17" s="0" t="s">
        <v>2445</v>
      </c>
      <c r="F17" s="0" t="s">
        <v>2417</v>
      </c>
      <c r="G17" s="0" t="s">
        <v>1558</v>
      </c>
    </row>
    <row customHeight="1" ht="11.25">
      <c r="A18" s="0" t="s">
        <v>16</v>
      </c>
      <c r="B18" s="0" t="s">
        <v>99</v>
      </c>
      <c r="C18" s="0" t="s">
        <v>2413</v>
      </c>
      <c r="D18" s="0" t="s">
        <v>2446</v>
      </c>
      <c r="E18" s="0" t="s">
        <v>2447</v>
      </c>
      <c r="F18" s="0" t="s">
        <v>2417</v>
      </c>
      <c r="G18" s="0" t="s">
        <v>1570</v>
      </c>
    </row>
    <row customHeight="1" ht="11.25">
      <c r="A19" s="0" t="s">
        <v>16</v>
      </c>
      <c r="B19" s="0" t="s">
        <v>99</v>
      </c>
      <c r="C19" s="0" t="s">
        <v>2413</v>
      </c>
      <c r="D19" s="0" t="s">
        <v>2448</v>
      </c>
      <c r="E19" s="0" t="s">
        <v>2449</v>
      </c>
      <c r="F19" s="0" t="s">
        <v>2417</v>
      </c>
      <c r="G19" s="0" t="s">
        <v>1584</v>
      </c>
    </row>
    <row customHeight="1" ht="11.25">
      <c r="A20" s="0" t="s">
        <v>16</v>
      </c>
      <c r="B20" s="0" t="s">
        <v>99</v>
      </c>
      <c r="C20" s="0" t="s">
        <v>2413</v>
      </c>
      <c r="D20" s="0" t="s">
        <v>2450</v>
      </c>
      <c r="E20" s="0" t="s">
        <v>2451</v>
      </c>
      <c r="F20" s="0" t="s">
        <v>2417</v>
      </c>
      <c r="G20" s="0" t="s">
        <v>1596</v>
      </c>
    </row>
    <row customHeight="1" ht="11.25">
      <c r="A21" s="0" t="s">
        <v>16</v>
      </c>
      <c r="B21" s="0" t="s">
        <v>99</v>
      </c>
      <c r="C21" s="0" t="s">
        <v>2413</v>
      </c>
      <c r="D21" s="0" t="s">
        <v>2452</v>
      </c>
      <c r="E21" s="0" t="s">
        <v>2453</v>
      </c>
      <c r="F21" s="0" t="s">
        <v>2417</v>
      </c>
      <c r="G21" s="0" t="s">
        <v>1605</v>
      </c>
    </row>
    <row customHeight="1" ht="11.25">
      <c r="A22" s="0" t="s">
        <v>16</v>
      </c>
      <c r="B22" s="0" t="s">
        <v>99</v>
      </c>
      <c r="C22" s="0" t="s">
        <v>2413</v>
      </c>
      <c r="D22" s="0" t="s">
        <v>2454</v>
      </c>
      <c r="E22" s="0" t="s">
        <v>2455</v>
      </c>
      <c r="F22" s="0" t="s">
        <v>2417</v>
      </c>
      <c r="G22" s="0" t="s">
        <v>1621</v>
      </c>
    </row>
    <row customHeight="1" ht="11.25">
      <c r="A23" s="0" t="s">
        <v>16</v>
      </c>
      <c r="B23" s="0" t="s">
        <v>2456</v>
      </c>
      <c r="C23" s="0" t="s">
        <v>2457</v>
      </c>
      <c r="D23" s="0" t="s">
        <v>2456</v>
      </c>
      <c r="E23" s="0" t="s">
        <v>2457</v>
      </c>
      <c r="F23" s="0" t="s">
        <v>2458</v>
      </c>
      <c r="G23" s="0" t="s">
        <v>1628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78FE7-E375-1D17-E17A-0.47657C7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2" t="s">
        <v>2523</v>
      </c>
      <c r="B1" s="842" t="s">
        <v>2524</v>
      </c>
      <c r="C1" s="842" t="s">
        <v>1262</v>
      </c>
    </row>
    <row customHeight="1" ht="11.25">
      <c r="A2" s="842">
        <v>4189678</v>
      </c>
      <c r="B2" s="842" t="s">
        <v>2525</v>
      </c>
      <c r="C2" s="842" t="s">
        <v>2526</v>
      </c>
    </row>
    <row customHeight="1" ht="11.25">
      <c r="A3" s="842">
        <v>4190415</v>
      </c>
      <c r="B3" s="842" t="s">
        <v>2527</v>
      </c>
      <c r="C3" s="842" t="s">
        <v>2526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3064F-AA37-B768-A12F-0.21CBD7A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2528</v>
      </c>
      <c r="B1" s="170" t="s">
        <v>2529</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908EB-8812-DB4A-A5A3-0.E91E831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2530</v>
      </c>
      <c r="B1" s="0" t="b">
        <v>1</v>
      </c>
    </row>
    <row customHeight="1" ht="11.25">
      <c r="A2" s="0" t="s">
        <v>2531</v>
      </c>
      <c r="B2" s="0" t="b">
        <v>0</v>
      </c>
    </row>
    <row customHeight="1" ht="11.25">
      <c r="A3" s="0" t="s">
        <v>2532</v>
      </c>
      <c r="B3" s="0" t="b">
        <v>0</v>
      </c>
    </row>
    <row customHeight="1" ht="11.25">
      <c r="A4" s="0" t="s">
        <v>2533</v>
      </c>
      <c r="B4" s="0" t="b">
        <v>1</v>
      </c>
    </row>
    <row customHeight="1" ht="11.25">
      <c r="A5" s="0" t="s">
        <v>2534</v>
      </c>
      <c r="B5" s="0" t="b">
        <v>0</v>
      </c>
    </row>
    <row customHeight="1" ht="11.25">
      <c r="A6" s="0" t="s">
        <v>2535</v>
      </c>
      <c r="B6" s="0" t="b">
        <v>0</v>
      </c>
    </row>
    <row customHeight="1" ht="11.25">
      <c r="A7" s="0" t="s">
        <v>2536</v>
      </c>
      <c r="B7" s="0" t="b">
        <v>0</v>
      </c>
    </row>
    <row customHeight="1" ht="11.25">
      <c r="A8" s="0" t="s">
        <v>2537</v>
      </c>
      <c r="B8" s="0" t="b">
        <v>0</v>
      </c>
    </row>
    <row customHeight="1" ht="11.25">
      <c r="A9" s="0" t="s">
        <v>2538</v>
      </c>
      <c r="B9" s="0" t="b">
        <v>0</v>
      </c>
    </row>
    <row customHeight="1" ht="11.25">
      <c r="A10" s="0" t="s">
        <v>2539</v>
      </c>
      <c r="B10" s="0" t="b">
        <v>1</v>
      </c>
    </row>
    <row customHeight="1" ht="11.25">
      <c r="A11" s="0" t="s">
        <v>2540</v>
      </c>
      <c r="B11" s="0" t="b">
        <v>0</v>
      </c>
    </row>
    <row customHeight="1" ht="11.25">
      <c r="A12" s="0" t="s">
        <v>2541</v>
      </c>
      <c r="B12" s="0" t="b">
        <v>0</v>
      </c>
    </row>
    <row customHeight="1" ht="11.25">
      <c r="A13" s="0" t="s">
        <v>2542</v>
      </c>
      <c r="B13" s="0" t="b">
        <v>0</v>
      </c>
    </row>
    <row customHeight="1" ht="11.25">
      <c r="A14" s="0" t="s">
        <v>2543</v>
      </c>
      <c r="B14" s="0" t="b">
        <v>0</v>
      </c>
    </row>
    <row customHeight="1" ht="11.25">
      <c r="A15" s="0" t="s">
        <v>2544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31FA8-03FD-04C4-D3CB-0.F9F4CC4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B447B-D786-7F75-D958-0.4ED1D52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4" t="s">
        <v>2545</v>
      </c>
      <c r="B1" s="74" t="s">
        <v>2546</v>
      </c>
    </row>
    <row customHeight="1" ht="11.25">
      <c r="A2" s="71" t="s">
        <v>2547</v>
      </c>
      <c r="B2" s="71" t="s">
        <v>2548</v>
      </c>
    </row>
    <row customHeight="1" ht="11.25">
      <c r="A3" s="71" t="s">
        <v>2549</v>
      </c>
      <c r="B3" s="71" t="s">
        <v>2550</v>
      </c>
    </row>
    <row customHeight="1" ht="11.25">
      <c r="A4" s="71" t="s">
        <v>2551</v>
      </c>
      <c r="B4" s="71" t="s">
        <v>2552</v>
      </c>
    </row>
    <row customHeight="1" ht="11.25">
      <c r="A5" s="71" t="s">
        <v>2553</v>
      </c>
      <c r="B5" s="71" t="s">
        <v>2554</v>
      </c>
    </row>
    <row customHeight="1" ht="11.25">
      <c r="A6" s="71" t="s">
        <v>2555</v>
      </c>
      <c r="B6" s="71" t="s">
        <v>2556</v>
      </c>
    </row>
    <row customHeight="1" ht="11.25">
      <c r="A7" s="71" t="s">
        <v>2557</v>
      </c>
      <c r="B7" s="71" t="s">
        <v>2558</v>
      </c>
    </row>
    <row customHeight="1" ht="11.25">
      <c r="A8" s="71" t="s">
        <v>2559</v>
      </c>
      <c r="B8" s="71" t="s">
        <v>2560</v>
      </c>
    </row>
    <row customHeight="1" ht="11.25">
      <c r="A9" s="71" t="s">
        <v>2561</v>
      </c>
      <c r="B9" s="71" t="s">
        <v>2562</v>
      </c>
    </row>
    <row customHeight="1" ht="11.25">
      <c r="A10" s="71" t="s">
        <v>2563</v>
      </c>
      <c r="B10" s="71" t="s">
        <v>2564</v>
      </c>
    </row>
    <row customHeight="1" ht="11.25">
      <c r="A11" s="71" t="s">
        <v>2565</v>
      </c>
      <c r="B11" s="71" t="s">
        <v>2566</v>
      </c>
    </row>
    <row customHeight="1" ht="11.25">
      <c r="A12" s="71" t="s">
        <v>2567</v>
      </c>
      <c r="B12" s="71" t="s">
        <v>2568</v>
      </c>
    </row>
    <row customHeight="1" ht="11.25">
      <c r="A13" s="71" t="s">
        <v>2569</v>
      </c>
      <c r="B13" s="71" t="s">
        <v>2570</v>
      </c>
    </row>
    <row customHeight="1" ht="11.25">
      <c r="A14" s="71" t="s">
        <v>2571</v>
      </c>
      <c r="B14" s="71" t="s">
        <v>2572</v>
      </c>
    </row>
    <row customHeight="1" ht="11.25">
      <c r="A15" s="71" t="s">
        <v>2573</v>
      </c>
      <c r="B15" s="71" t="s">
        <v>2574</v>
      </c>
    </row>
    <row customHeight="1" ht="11.25">
      <c r="A16" s="71" t="s">
        <v>2575</v>
      </c>
      <c r="B16" s="71" t="s">
        <v>2576</v>
      </c>
    </row>
    <row customHeight="1" ht="11.25">
      <c r="A17" s="71" t="s">
        <v>2577</v>
      </c>
      <c r="B17" s="71" t="s">
        <v>2578</v>
      </c>
    </row>
    <row customHeight="1" ht="11.25">
      <c r="A18" s="71" t="s">
        <v>2579</v>
      </c>
      <c r="B18" s="71" t="s">
        <v>2580</v>
      </c>
    </row>
    <row customHeight="1" ht="11.25">
      <c r="A19" s="71" t="s">
        <v>2581</v>
      </c>
      <c r="B19" s="71" t="s">
        <v>2582</v>
      </c>
    </row>
    <row customHeight="1" ht="11.25">
      <c r="A20" s="71" t="s">
        <v>2583</v>
      </c>
      <c r="B20" s="71" t="s">
        <v>2584</v>
      </c>
    </row>
    <row customHeight="1" ht="11.25">
      <c r="A21" s="71" t="s">
        <v>2585</v>
      </c>
      <c r="B21" s="71" t="s">
        <v>2586</v>
      </c>
    </row>
    <row customHeight="1" ht="11.25">
      <c r="A22" s="71" t="s">
        <v>2587</v>
      </c>
      <c r="B22" s="71" t="s">
        <v>2588</v>
      </c>
    </row>
    <row customHeight="1" ht="11.25">
      <c r="A23" s="71" t="s">
        <v>2589</v>
      </c>
      <c r="B23" s="71" t="s">
        <v>2590</v>
      </c>
    </row>
    <row customHeight="1" ht="11.25">
      <c r="A24" s="71" t="s">
        <v>2591</v>
      </c>
      <c r="B24" s="71" t="s">
        <v>2592</v>
      </c>
    </row>
    <row customHeight="1" ht="11.25">
      <c r="A25" s="71" t="s">
        <v>2593</v>
      </c>
      <c r="B25" s="71" t="s">
        <v>2594</v>
      </c>
    </row>
    <row customHeight="1" ht="11.25">
      <c r="A26" s="71" t="s">
        <v>2595</v>
      </c>
      <c r="B26" s="71" t="s">
        <v>2596</v>
      </c>
    </row>
    <row customHeight="1" ht="11.25">
      <c r="A27" s="71" t="s">
        <v>2597</v>
      </c>
      <c r="B27" s="71" t="s">
        <v>2598</v>
      </c>
    </row>
    <row customHeight="1" ht="11.25">
      <c r="A28" s="71" t="s">
        <v>2599</v>
      </c>
      <c r="B28" s="71" t="s">
        <v>2600</v>
      </c>
    </row>
    <row customHeight="1" ht="11.25">
      <c r="A29" s="71" t="s">
        <v>2601</v>
      </c>
      <c r="B29" s="71" t="s">
        <v>2602</v>
      </c>
    </row>
    <row customHeight="1" ht="11.25">
      <c r="A30" s="71" t="s">
        <v>2603</v>
      </c>
      <c r="B30" s="71" t="s">
        <v>2604</v>
      </c>
    </row>
    <row customHeight="1" ht="11.25">
      <c r="A31" s="71" t="s">
        <v>2605</v>
      </c>
      <c r="B31" s="71" t="s">
        <v>2606</v>
      </c>
    </row>
    <row customHeight="1" ht="11.25">
      <c r="A32" s="71" t="s">
        <v>2607</v>
      </c>
      <c r="B32" s="71" t="s">
        <v>2608</v>
      </c>
    </row>
    <row customHeight="1" ht="11.25">
      <c r="A33" s="71" t="s">
        <v>2609</v>
      </c>
      <c r="B33" s="71" t="s">
        <v>2610</v>
      </c>
    </row>
    <row customHeight="1" ht="11.25">
      <c r="A34" s="71" t="s">
        <v>2611</v>
      </c>
      <c r="B34" s="71" t="s">
        <v>2612</v>
      </c>
    </row>
    <row customHeight="1" ht="11.25">
      <c r="A35" s="71" t="s">
        <v>2613</v>
      </c>
      <c r="B35" s="71" t="s">
        <v>2614</v>
      </c>
    </row>
    <row customHeight="1" ht="11.25">
      <c r="A36" s="71" t="s">
        <v>2615</v>
      </c>
      <c r="B36" s="71" t="s">
        <v>2616</v>
      </c>
    </row>
    <row customHeight="1" ht="11.25">
      <c r="A37" s="71" t="s">
        <v>2617</v>
      </c>
      <c r="B37" s="71" t="s">
        <v>2618</v>
      </c>
    </row>
    <row customHeight="1" ht="11.25">
      <c r="A38" s="71" t="s">
        <v>2619</v>
      </c>
      <c r="B38" s="71" t="s">
        <v>2620</v>
      </c>
    </row>
    <row customHeight="1" ht="11.25">
      <c r="A39" s="71" t="s">
        <v>2621</v>
      </c>
      <c r="B39" s="71" t="s">
        <v>2622</v>
      </c>
    </row>
    <row customHeight="1" ht="11.25">
      <c r="A40" s="71" t="s">
        <v>2623</v>
      </c>
      <c r="B40" s="71" t="s">
        <v>2624</v>
      </c>
    </row>
    <row customHeight="1" ht="11.25">
      <c r="A41" s="71" t="s">
        <v>2625</v>
      </c>
      <c r="B41" s="71" t="s">
        <v>2626</v>
      </c>
    </row>
    <row customHeight="1" ht="11.25">
      <c r="A42" s="71" t="s">
        <v>2627</v>
      </c>
      <c r="B42" s="71" t="s">
        <v>2628</v>
      </c>
    </row>
    <row customHeight="1" ht="11.25">
      <c r="A43" s="71" t="s">
        <v>2629</v>
      </c>
      <c r="B43" s="71" t="s">
        <v>2630</v>
      </c>
    </row>
    <row customHeight="1" ht="11.25">
      <c r="A44" s="71" t="s">
        <v>2631</v>
      </c>
      <c r="B44" s="71" t="s">
        <v>2632</v>
      </c>
    </row>
    <row customHeight="1" ht="11.25">
      <c r="A45" s="71" t="s">
        <v>2633</v>
      </c>
      <c r="B45" s="71" t="s">
        <v>2634</v>
      </c>
    </row>
    <row customHeight="1" ht="11.25">
      <c r="A46" s="71" t="s">
        <v>2635</v>
      </c>
      <c r="B46" s="71" t="s">
        <v>2636</v>
      </c>
    </row>
    <row customHeight="1" ht="11.25">
      <c r="A47" s="71" t="s">
        <v>2637</v>
      </c>
      <c r="B47" s="71" t="s">
        <v>2638</v>
      </c>
    </row>
    <row customHeight="1" ht="11.25">
      <c r="A48" s="71" t="s">
        <v>2639</v>
      </c>
      <c r="B48" s="71" t="s">
        <v>2640</v>
      </c>
    </row>
    <row customHeight="1" ht="11.25">
      <c r="A49" s="71" t="s">
        <v>2641</v>
      </c>
      <c r="B49" s="71" t="s">
        <v>2642</v>
      </c>
    </row>
    <row customHeight="1" ht="11.25">
      <c r="A50" s="71" t="s">
        <v>2643</v>
      </c>
      <c r="B50" s="71" t="s">
        <v>2644</v>
      </c>
    </row>
    <row customHeight="1" ht="11.25">
      <c r="A51" s="71" t="s">
        <v>2645</v>
      </c>
      <c r="B51" s="71" t="s">
        <v>2646</v>
      </c>
    </row>
    <row customHeight="1" ht="11.25">
      <c r="A52" s="71" t="s">
        <v>2647</v>
      </c>
      <c r="B52" s="71" t="s">
        <v>2648</v>
      </c>
    </row>
    <row customHeight="1" ht="11.25">
      <c r="A53" s="71" t="s">
        <v>2649</v>
      </c>
      <c r="B53" s="71" t="s">
        <v>2650</v>
      </c>
    </row>
    <row customHeight="1" ht="11.25">
      <c r="A54" s="71" t="s">
        <v>2651</v>
      </c>
      <c r="B54" s="71" t="s">
        <v>2652</v>
      </c>
    </row>
    <row customHeight="1" ht="11.25">
      <c r="A55" s="71" t="s">
        <v>2653</v>
      </c>
      <c r="B55" s="71" t="s">
        <v>2654</v>
      </c>
    </row>
    <row customHeight="1" ht="11.25">
      <c r="A56" s="71" t="s">
        <v>2655</v>
      </c>
      <c r="B56" s="71" t="s">
        <v>2656</v>
      </c>
    </row>
    <row customHeight="1" ht="11.25">
      <c r="A57" s="71" t="s">
        <v>2657</v>
      </c>
      <c r="B57" s="71" t="s">
        <v>2658</v>
      </c>
    </row>
    <row customHeight="1" ht="11.25">
      <c r="A58" s="71" t="s">
        <v>2659</v>
      </c>
      <c r="B58" s="71" t="s">
        <v>2660</v>
      </c>
    </row>
    <row customHeight="1" ht="11.25">
      <c r="A59" s="71" t="s">
        <v>2661</v>
      </c>
      <c r="B59" s="71" t="s">
        <v>2662</v>
      </c>
    </row>
    <row customHeight="1" ht="11.25">
      <c r="A60" s="71" t="s">
        <v>2663</v>
      </c>
      <c r="B60" s="71" t="s">
        <v>2664</v>
      </c>
    </row>
    <row customHeight="1" ht="11.25">
      <c r="A61" s="71"/>
      <c r="B61" s="71" t="s">
        <v>2665</v>
      </c>
    </row>
    <row customHeight="1" ht="11.25">
      <c r="A62" s="71"/>
      <c r="B62" s="71" t="s">
        <v>2666</v>
      </c>
    </row>
    <row customHeight="1" ht="11.25">
      <c r="A63" s="71"/>
      <c r="B63" s="71" t="s">
        <v>2667</v>
      </c>
    </row>
    <row customHeight="1" ht="11.25">
      <c r="A64" s="71"/>
      <c r="B64" s="71" t="s">
        <v>2668</v>
      </c>
    </row>
    <row customHeight="1" ht="11.25">
      <c r="A65" s="71"/>
      <c r="B65" s="71" t="s">
        <v>2669</v>
      </c>
    </row>
    <row customHeight="1" ht="11.25">
      <c r="A66" s="71"/>
      <c r="B66" s="71" t="s">
        <v>2670</v>
      </c>
    </row>
    <row customHeight="1" ht="11.25">
      <c r="A67" s="71"/>
      <c r="B67" s="71" t="s">
        <v>2671</v>
      </c>
    </row>
    <row customHeight="1" ht="11.25">
      <c r="A68" s="71"/>
      <c r="B68" s="71" t="s">
        <v>2672</v>
      </c>
    </row>
    <row customHeight="1" ht="11.25">
      <c r="A69" s="71"/>
      <c r="B69" s="71" t="s">
        <v>2673</v>
      </c>
    </row>
    <row customHeight="1" ht="11.25">
      <c r="A70" s="71"/>
      <c r="B70" s="71" t="s">
        <v>2674</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5AC8A-F0B6-D9D2-4128-0.7E40996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100" t="s">
        <v>2675</v>
      </c>
    </row>
    <row customHeight="1" ht="90">
      <c r="B2" s="101" t="s">
        <v>2676</v>
      </c>
    </row>
    <row customHeight="1" ht="67.5">
      <c r="B3" s="101" t="s">
        <v>2677</v>
      </c>
    </row>
    <row customHeight="1" ht="33.75">
      <c r="B4" s="101" t="s">
        <v>2678</v>
      </c>
    </row>
    <row customHeight="1" ht="11.25">
      <c r="B5" s="101" t="s">
        <v>2679</v>
      </c>
    </row>
    <row customHeight="1" ht="22.5">
      <c r="B6" s="101" t="s">
        <v>2680</v>
      </c>
    </row>
    <row customHeight="1" ht="22.5">
      <c r="B7" s="101" t="s">
        <v>2681</v>
      </c>
    </row>
    <row customHeight="1" ht="22.5">
      <c r="B8" s="101" t="s">
        <v>2682</v>
      </c>
    </row>
    <row customHeight="1" ht="22.5">
      <c r="B9" s="101" t="s">
        <v>2683</v>
      </c>
    </row>
    <row customHeight="1" ht="56.25">
      <c r="B10" s="101" t="s">
        <v>2684</v>
      </c>
    </row>
    <row customHeight="1" ht="12.75">
      <c r="B11" s="166" t="s">
        <v>2685</v>
      </c>
    </row>
    <row customHeight="1" ht="11.25">
      <c r="B12" s="100" t="s">
        <v>2686</v>
      </c>
    </row>
    <row customHeight="1" ht="22.5">
      <c r="B13" s="101" t="s">
        <v>2687</v>
      </c>
    </row>
    <row customHeight="1" ht="67.5">
      <c r="B14" s="101" t="s">
        <v>2688</v>
      </c>
    </row>
    <row customHeight="1" ht="22.5">
      <c r="B15" s="101" t="s">
        <v>2689</v>
      </c>
    </row>
    <row customHeight="1" ht="11.25">
      <c r="B16" s="100" t="s">
        <v>2690</v>
      </c>
      <c r="D16" s="107"/>
    </row>
    <row customHeight="1" ht="33.75">
      <c r="B17" s="101" t="s">
        <v>2691</v>
      </c>
    </row>
    <row customHeight="1" ht="33.75">
      <c r="B18" s="101" t="s">
        <v>2692</v>
      </c>
    </row>
    <row customHeight="1" ht="11.25">
      <c r="B19" s="101" t="s">
        <v>2693</v>
      </c>
    </row>
    <row customHeight="1" ht="33.75">
      <c r="B20" s="101" t="s">
        <v>2694</v>
      </c>
    </row>
    <row customHeight="1" ht="11.25">
      <c r="B21" s="100" t="s">
        <v>2695</v>
      </c>
    </row>
    <row customHeight="1" ht="11.25">
      <c r="B22" s="101" t="s">
        <v>2696</v>
      </c>
    </row>
    <row r="24" customHeight="1" ht="22.5">
      <c r="B24" s="168" t="s">
        <v>2697</v>
      </c>
    </row>
    <row r="26" customHeight="1" ht="11.25">
      <c r="B26" s="100" t="s">
        <v>2698</v>
      </c>
    </row>
    <row customHeight="1" ht="22.5">
      <c r="B27" s="167" t="s">
        <v>395</v>
      </c>
    </row>
    <row customHeight="1" ht="56.25">
      <c r="B28" s="167" t="s">
        <v>2699</v>
      </c>
    </row>
    <row customHeight="1" ht="11.25">
      <c r="B29" s="217" t="s">
        <v>2700</v>
      </c>
    </row>
    <row customHeight="1" ht="22.5">
      <c r="B30" s="167" t="s">
        <v>2701</v>
      </c>
    </row>
    <row r="32" customHeight="1" ht="11.25">
      <c r="A32" s="195"/>
      <c r="B32" s="196" t="s">
        <v>2702</v>
      </c>
    </row>
    <row customHeight="1" ht="14.25">
      <c r="A33" s="197">
        <v>1</v>
      </c>
      <c r="B33" s="198" t="s">
        <v>2703</v>
      </c>
    </row>
    <row customHeight="1" ht="14.25">
      <c r="A34" s="197">
        <v>2</v>
      </c>
      <c r="B34" s="198" t="s">
        <v>2704</v>
      </c>
    </row>
    <row customHeight="1" ht="11.25">
      <c r="B35" s="196" t="s">
        <v>2705</v>
      </c>
    </row>
    <row customHeight="1" ht="11.25">
      <c r="B36" s="198" t="s">
        <v>2706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541A9-CC75-55F4-8C77-0.05965B3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6"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5"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37" t="s">
        <v>351</v>
      </c>
      <c r="I1" s="2237"/>
      <c r="V1" s="1614" t="s">
        <v>14</v>
      </c>
    </row>
    <row s="1642" customFormat="1" customHeight="1" ht="14.25" hidden="1">
      <c r="C2" s="1626"/>
      <c r="D2" s="2253" t="s">
        <v>109</v>
      </c>
      <c r="E2" s="2255"/>
      <c r="F2" s="1632"/>
      <c r="G2" s="1627" t="s">
        <v>109</v>
      </c>
      <c r="H2" s="1630"/>
      <c r="I2" s="1628"/>
      <c r="L2" s="1629"/>
      <c r="M2" s="1629"/>
      <c r="N2" s="1629"/>
      <c r="O2" s="1629" t="s">
        <v>381</v>
      </c>
      <c r="P2" s="1629"/>
      <c r="Q2" s="1629"/>
      <c r="R2" s="1631" t="s">
        <v>380</v>
      </c>
      <c r="S2" s="1631" t="s">
        <v>380</v>
      </c>
      <c r="T2" s="1629"/>
      <c r="U2" s="1629"/>
      <c r="V2" s="1625">
        <v>0</v>
      </c>
    </row>
    <row s="1642" customFormat="1" customHeight="1" ht="14.25" hidden="1">
      <c r="C3" s="1626"/>
      <c r="D3" s="2254"/>
      <c r="E3" s="2256"/>
      <c r="F3" s="412"/>
      <c r="G3" s="876"/>
      <c r="H3" s="876" t="s">
        <v>382</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355</v>
      </c>
      <c r="I5" s="709"/>
      <c r="J5" s="709"/>
      <c r="L5" s="1621"/>
      <c r="M5" s="1621"/>
      <c r="N5" s="1621"/>
      <c r="O5" s="1621"/>
      <c r="P5" s="1621"/>
      <c r="Q5" s="1621"/>
      <c r="R5" s="1621"/>
      <c r="S5" s="1621"/>
      <c r="T5" s="1621"/>
      <c r="U5" s="1621"/>
      <c r="V5" s="1620">
        <v>5</v>
      </c>
    </row>
    <row customHeight="1" ht="29.25">
      <c r="C6" s="1523"/>
      <c r="D6" s="2257" t="s">
        <v>383</v>
      </c>
      <c r="E6" s="2257"/>
      <c r="F6" s="2257"/>
      <c r="G6" s="2257"/>
      <c r="H6" s="2257"/>
      <c r="I6" s="2257"/>
      <c r="J6" s="498"/>
      <c r="K6" s="1622"/>
      <c r="V6" s="1614">
        <v>28</v>
      </c>
    </row>
    <row customHeight="1" ht="18">
      <c r="C7" s="1523"/>
      <c r="D7" s="2196" t="str">
        <f>IF(org=0,"Не определено",org)</f>
        <v>ИМУП «ПОСЖИЛКОМСЕРВИС»</v>
      </c>
      <c r="E7" s="2196"/>
      <c r="F7" s="2196"/>
      <c r="G7" s="2196"/>
      <c r="H7" s="2196"/>
      <c r="I7" s="2196"/>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38" t="s">
        <v>299</v>
      </c>
      <c r="E10" s="2239"/>
      <c r="F10" s="2239"/>
      <c r="G10" s="2239"/>
      <c r="H10" s="2239"/>
      <c r="I10" s="2239"/>
      <c r="J10" s="2243" t="s">
        <v>300</v>
      </c>
      <c r="V10" s="1614">
        <v>14</v>
      </c>
    </row>
    <row customHeight="1" ht="27.299999999999997">
      <c r="C11" s="1523"/>
      <c r="D11" s="2147" t="s">
        <v>87</v>
      </c>
      <c r="E11" s="2243" t="s">
        <v>105</v>
      </c>
      <c r="F11" s="2212" t="s">
        <v>87</v>
      </c>
      <c r="G11" s="2213"/>
      <c r="H11" s="2195" t="s">
        <v>384</v>
      </c>
      <c r="I11" s="2195" t="s">
        <v>385</v>
      </c>
      <c r="J11" s="2243"/>
      <c r="V11" s="1614">
        <v>26</v>
      </c>
    </row>
    <row customHeight="1" ht="14.699999999999998">
      <c r="C12" s="1523"/>
      <c r="D12" s="2147"/>
      <c r="E12" s="2243"/>
      <c r="F12" s="2220"/>
      <c r="G12" s="2221"/>
      <c r="H12" s="2252"/>
      <c r="I12" s="2252"/>
      <c r="J12" s="2243"/>
      <c r="V12" s="1614">
        <v>14</v>
      </c>
    </row>
    <row s="1648" customFormat="1" customHeight="1" ht="11.25" hidden="1">
      <c r="C13" s="505"/>
      <c r="D13" s="506" t="s">
        <v>375</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53" t="s">
        <v>109</v>
      </c>
      <c r="E14" s="2255"/>
      <c r="F14" s="1624"/>
      <c r="G14" s="1623" t="s">
        <v>109</v>
      </c>
      <c r="H14" s="1630"/>
      <c r="I14" s="1628"/>
      <c r="J14" s="2189" t="s">
        <v>386</v>
      </c>
      <c r="K14" s="1614"/>
      <c r="R14" s="507" t="s">
        <v>380</v>
      </c>
      <c r="S14" s="507" t="s">
        <v>380</v>
      </c>
      <c r="V14" s="1614">
        <v>14</v>
      </c>
    </row>
    <row customHeight="1" ht="14.699999999999998">
      <c r="A15" s="1614"/>
      <c r="C15" s="1523"/>
      <c r="D15" s="2254"/>
      <c r="E15" s="2256"/>
      <c r="F15" s="412"/>
      <c r="G15" s="876"/>
      <c r="H15" s="876" t="s">
        <v>382</v>
      </c>
      <c r="I15" s="320"/>
      <c r="J15" s="2190"/>
      <c r="K15" s="1614"/>
      <c r="R15" s="507"/>
      <c r="S15" s="507"/>
      <c r="V15" s="1614">
        <v>14</v>
      </c>
    </row>
    <row customHeight="1" ht="14.699999999999998">
      <c r="A16" s="1614"/>
      <c r="C16" s="1523"/>
      <c r="D16" s="412"/>
      <c r="E16" s="876" t="s">
        <v>122</v>
      </c>
      <c r="F16" s="320"/>
      <c r="G16" s="320"/>
      <c r="H16" s="413"/>
      <c r="I16" s="413"/>
      <c r="J16" s="2191"/>
      <c r="K16" s="1614"/>
      <c r="V16" s="1614">
        <v>14</v>
      </c>
    </row>
    <row customHeight="1" ht="14.699999999999998">
      <c r="K17" s="1614"/>
      <c r="V17" s="1614">
        <v>14</v>
      </c>
    </row>
    <row customHeight="1" ht="22.5" hidden="1">
      <c r="A18" s="1615" t="s">
        <v>81</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